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215" activeTab="0"/>
  </bookViews>
  <sheets>
    <sheet name="Main" sheetId="1" r:id="rId1"/>
    <sheet name="Materials" sheetId="2" r:id="rId2"/>
  </sheets>
  <definedNames/>
  <calcPr fullCalcOnLoad="1"/>
</workbook>
</file>

<file path=xl/comments1.xml><?xml version="1.0" encoding="utf-8"?>
<comments xmlns="http://schemas.openxmlformats.org/spreadsheetml/2006/main">
  <authors>
    <author>Jerome Daoust</author>
  </authors>
  <commentList>
    <comment ref="A7" authorId="0">
      <text>
        <r>
          <rPr>
            <sz val="8"/>
            <rFont val="Tahoma"/>
            <family val="2"/>
          </rPr>
          <t>The ratio of suspended weight supported by the accelerator pull when on full bar.
The 1st bar will support less weight than the main, when fully accelerated.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2:1 is rare today.
3:1 is typical.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2"/>
          </rPr>
          <t>Ratio for accelerator load line increase from friction on its path.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See next sheet</t>
        </r>
        <r>
          <rPr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0"/>
          </rPr>
          <t>Industrial Metal Supply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If the wall is too thin on mid-strength alloys, the X-Lock can deform under load.
0.060" wall with the common 1" OD material is OK.</t>
        </r>
      </text>
    </comment>
    <comment ref="C48" authorId="0">
      <text>
        <r>
          <rPr>
            <b/>
            <sz val="8"/>
            <rFont val="Tahoma"/>
            <family val="0"/>
          </rPr>
          <t xml:space="preserve">Other benefits:
</t>
        </r>
        <r>
          <rPr>
            <sz val="8"/>
            <rFont val="Tahoma"/>
            <family val="0"/>
          </rPr>
          <t>Not expensive.
Available everywhere.
End caps already found.
Can add retraction system inside.</t>
        </r>
      </text>
    </comment>
    <comment ref="L48" authorId="0">
      <text>
        <r>
          <rPr>
            <b/>
            <sz val="8"/>
            <rFont val="Tahoma"/>
            <family val="2"/>
          </rPr>
          <t>Other benefits:</t>
        </r>
        <r>
          <rPr>
            <sz val="8"/>
            <rFont val="Tahoma"/>
            <family val="0"/>
          </rPr>
          <t xml:space="preserve">
Smaller OD = less drag
Chosen over IMS' appliance-grade shiny 6063-T8, because of lower drag OD + extra weight saving.</t>
        </r>
      </text>
    </comment>
    <comment ref="E48" authorId="0">
      <text>
        <r>
          <rPr>
            <b/>
            <sz val="8"/>
            <rFont val="Tahoma"/>
            <family val="0"/>
          </rPr>
          <t>Other benefits:</t>
        </r>
        <r>
          <rPr>
            <sz val="8"/>
            <rFont val="Tahoma"/>
            <family val="0"/>
          </rPr>
          <t xml:space="preserve">
Very corrosion resistant.
Available close to my work place.</t>
        </r>
      </text>
    </comment>
    <comment ref="C10" authorId="0">
      <text>
        <r>
          <rPr>
            <b/>
            <sz val="10"/>
            <rFont val="Tahoma"/>
            <family val="0"/>
          </rPr>
          <t>Uneven thickness around circumference, varies from 0.055" to 0.065"</t>
        </r>
        <r>
          <rPr>
            <sz val="10"/>
            <rFont val="Tahoma"/>
            <family val="0"/>
          </rPr>
          <t xml:space="preserve">
</t>
        </r>
      </text>
    </comment>
    <comment ref="G48" authorId="0">
      <text>
        <r>
          <rPr>
            <b/>
            <sz val="8"/>
            <rFont val="Tahoma"/>
            <family val="0"/>
          </rPr>
          <t>Anodized finish scratches easily.</t>
        </r>
        <r>
          <rPr>
            <sz val="8"/>
            <rFont val="Tahoma"/>
            <family val="0"/>
          </rPr>
          <t xml:space="preserve">
</t>
        </r>
      </text>
    </comment>
    <comment ref="P48" authorId="0">
      <text>
        <r>
          <rPr>
            <b/>
            <sz val="10"/>
            <rFont val="Tahoma"/>
            <family val="0"/>
          </rPr>
          <t>1) Weight is close to the lowest, but strength much better.
2) X-Lock stronger and thicker.</t>
        </r>
        <r>
          <rPr>
            <sz val="10"/>
            <rFont val="Tahoma"/>
            <family val="0"/>
          </rPr>
          <t xml:space="preserve">
</t>
        </r>
      </text>
    </comment>
    <comment ref="A43" authorId="0">
      <text>
        <r>
          <rPr>
            <sz val="10"/>
            <rFont val="Tahoma"/>
            <family val="0"/>
          </rPr>
          <t>I was able to fit an X-lock and bungee loop with a 5/8" OD, 0.093" wall --&gt; 0.439" ID.
Tight, but possible.</t>
        </r>
      </text>
    </comment>
  </commentList>
</comments>
</file>

<file path=xl/sharedStrings.xml><?xml version="1.0" encoding="utf-8"?>
<sst xmlns="http://schemas.openxmlformats.org/spreadsheetml/2006/main" count="153" uniqueCount="95">
  <si>
    <t>Pilot weight (lb)</t>
  </si>
  <si>
    <t>First (1) or Main (2) bar</t>
  </si>
  <si>
    <t>Acc. pulley ratio</t>
  </si>
  <si>
    <t>Acc. weight ratio</t>
  </si>
  <si>
    <t>Acc, friction ratio</t>
  </si>
  <si>
    <t>Equipment (lb)</t>
  </si>
  <si>
    <t>Tube OD (in)</t>
  </si>
  <si>
    <t>Tube wall (in)</t>
  </si>
  <si>
    <t>Bar name</t>
  </si>
  <si>
    <t>TFW (kg)</t>
  </si>
  <si>
    <t>TFW (N)</t>
  </si>
  <si>
    <t>I (m^4)</t>
  </si>
  <si>
    <t>F: One line tension (N)</t>
  </si>
  <si>
    <t>L: Half span (m)</t>
  </si>
  <si>
    <t>c: Extreme fiber (m)</t>
  </si>
  <si>
    <t>Stress (Mpa)</t>
  </si>
  <si>
    <t>Ro: Outside radius (m)</t>
  </si>
  <si>
    <t>Ri: Inside radius (m)</t>
  </si>
  <si>
    <t>Area (m^2)</t>
  </si>
  <si>
    <t>Density (kg/m^3)</t>
  </si>
  <si>
    <t>Linear mass (kg/m)</t>
  </si>
  <si>
    <t>Safety Factor</t>
  </si>
  <si>
    <t>Mass (kg)</t>
  </si>
  <si>
    <t>Mass (oz)</t>
  </si>
  <si>
    <t>Min Yield strength (Mpa)</t>
  </si>
  <si>
    <t>Aluminum alloys</t>
  </si>
  <si>
    <t>Typical Yield strength (Mpa)</t>
  </si>
  <si>
    <t>Reference</t>
  </si>
  <si>
    <t>Alloy</t>
  </si>
  <si>
    <t>7075-T6</t>
  </si>
  <si>
    <t>6063-T8</t>
  </si>
  <si>
    <t>6061-T6</t>
  </si>
  <si>
    <t>2024-T4</t>
  </si>
  <si>
    <t>2024-T3</t>
  </si>
  <si>
    <t>2024-O</t>
  </si>
  <si>
    <t>2014-T6</t>
  </si>
  <si>
    <t>7075-T7651</t>
  </si>
  <si>
    <t>6061-T4</t>
  </si>
  <si>
    <t>6063-T6</t>
  </si>
  <si>
    <t>7075-T651</t>
  </si>
  <si>
    <t>Material name</t>
  </si>
  <si>
    <t>F: One line tension (lb)</t>
  </si>
  <si>
    <t>Comment</t>
  </si>
  <si>
    <t>Purchased at McFadden-Dale: "Mill tube" with 5/8" OD, 0.093" wall</t>
  </si>
  <si>
    <t>OD (in)</t>
  </si>
  <si>
    <t>Wall (in)</t>
  </si>
  <si>
    <t>Span distance (m)</t>
  </si>
  <si>
    <t>Center weight (lb)</t>
  </si>
  <si>
    <t>Center load (N)</t>
  </si>
  <si>
    <t>MD 5/8" OD</t>
  </si>
  <si>
    <r>
      <t xml:space="preserve">2005/11/16: </t>
    </r>
    <r>
      <rPr>
        <b/>
        <sz val="10"/>
        <rFont val="Times New Roman"/>
        <family val="1"/>
      </rPr>
      <t>Loading conditions</t>
    </r>
    <r>
      <rPr>
        <sz val="10"/>
        <rFont val="Times New Roman"/>
        <family val="1"/>
      </rPr>
      <t>: Bar spanning between 2 rigid supports, using bare heal (soft 5 cm width) to load my weight.</t>
    </r>
  </si>
  <si>
    <t>Name</t>
  </si>
  <si>
    <t>Similar to 6061-T6 ?</t>
  </si>
  <si>
    <t>Industrial Metal Supply has some, but with thick (0.120") wall</t>
  </si>
  <si>
    <t>Industrial Metal Supply has some, with thin wall (0.049" for 3/8" OD, 0.058" for larger OD)</t>
  </si>
  <si>
    <t>Found at Mc-Fadden Dale</t>
  </si>
  <si>
    <t>45 cm caused permanent deflection in bar, 40 cm did not.</t>
  </si>
  <si>
    <t>Full length (m)</t>
  </si>
  <si>
    <t>Span loaded (m)</t>
  </si>
  <si>
    <t>IMS</t>
  </si>
  <si>
    <t>Weight change, considering 1st bar's counterweight (oz)</t>
  </si>
  <si>
    <t>American Itnl Metals</t>
  </si>
  <si>
    <t>Material # (see next sheet)</t>
  </si>
  <si>
    <t>McMaster-Carr has this temper.</t>
  </si>
  <si>
    <t>Enough weight saving?</t>
  </si>
  <si>
    <t>Shipping delay+hassle?</t>
  </si>
  <si>
    <t>Sufficient SF?</t>
  </si>
  <si>
    <t>Thin wall -&gt; Line abarasion</t>
  </si>
  <si>
    <t>Required SF</t>
  </si>
  <si>
    <t>Main bar X-Lock strength</t>
  </si>
  <si>
    <t>Hard to cut end straight?</t>
  </si>
  <si>
    <t>No</t>
  </si>
  <si>
    <t>Expensive minimum order</t>
  </si>
  <si>
    <t>OK</t>
  </si>
  <si>
    <t>2 weeks</t>
  </si>
  <si>
    <t>350 $</t>
  </si>
  <si>
    <t>Selected as...</t>
  </si>
  <si>
    <t>EastonTube.com</t>
  </si>
  <si>
    <t>7075-T9</t>
  </si>
  <si>
    <t>?</t>
  </si>
  <si>
    <t>Thin wall -&gt; Crushed if stepped on</t>
  </si>
  <si>
    <t>Step1: #1</t>
  </si>
  <si>
    <t>Finish</t>
  </si>
  <si>
    <t>Mirror</t>
  </si>
  <si>
    <t>Appearance</t>
  </si>
  <si>
    <t>Tan</t>
  </si>
  <si>
    <t>Mill</t>
  </si>
  <si>
    <t>Small main bar OD --&gt; Caming annoyance?</t>
  </si>
  <si>
    <t>Small main bar ID --&gt; Difficult to thread X-Lock</t>
  </si>
  <si>
    <t>Aircraft Spruce</t>
  </si>
  <si>
    <t>Variable</t>
  </si>
  <si>
    <t>Step2: #1</t>
  </si>
  <si>
    <t>Anodized</t>
  </si>
  <si>
    <t>6 $/6'</t>
  </si>
  <si>
    <t>ID (in)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</si>
</sst>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E+00"/>
    <numFmt numFmtId="167" formatCode="0.0000"/>
    <numFmt numFmtId="168" formatCode="0.00000"/>
    <numFmt numFmtId="169" formatCode="0.0E+00"/>
  </numFmts>
  <fonts count="1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6" fillId="0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1" fontId="6" fillId="0" borderId="2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" fillId="2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164" fontId="5" fillId="2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 vertical="center"/>
    </xf>
    <xf numFmtId="2" fontId="3" fillId="2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3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/>
    </xf>
    <xf numFmtId="164" fontId="5" fillId="4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75" zoomScaleNormal="75" workbookViewId="0" topLeftCell="A1">
      <selection activeCell="L50" sqref="L50"/>
    </sheetView>
  </sheetViews>
  <sheetFormatPr defaultColWidth="9.140625" defaultRowHeight="12.75"/>
  <cols>
    <col min="1" max="1" width="20.7109375" style="1" bestFit="1" customWidth="1"/>
    <col min="2" max="2" width="9.140625" style="1" bestFit="1" customWidth="1"/>
    <col min="3" max="3" width="8.7109375" style="1" bestFit="1" customWidth="1"/>
    <col min="4" max="4" width="2.8515625" style="1" customWidth="1"/>
    <col min="5" max="6" width="9.140625" style="1" bestFit="1" customWidth="1"/>
    <col min="7" max="7" width="9.7109375" style="1" customWidth="1"/>
    <col min="8" max="8" width="2.8515625" style="1" customWidth="1"/>
    <col min="9" max="9" width="10.421875" style="1" customWidth="1"/>
    <col min="10" max="10" width="9.28125" style="1" bestFit="1" customWidth="1"/>
    <col min="11" max="11" width="2.8515625" style="1" customWidth="1"/>
    <col min="12" max="13" width="9.28125" style="1" bestFit="1" customWidth="1"/>
    <col min="14" max="14" width="9.28125" style="1" customWidth="1"/>
    <col min="15" max="15" width="9.28125" style="1" bestFit="1" customWidth="1"/>
    <col min="16" max="23" width="9.28125" style="1" customWidth="1"/>
    <col min="24" max="24" width="9.28125" style="1" bestFit="1" customWidth="1"/>
    <col min="25" max="25" width="9.28125" style="1" customWidth="1"/>
    <col min="26" max="16384" width="9.140625" style="1" customWidth="1"/>
  </cols>
  <sheetData>
    <row r="1" spans="2:12" ht="12.75">
      <c r="B1" s="55" t="s">
        <v>27</v>
      </c>
      <c r="C1" s="55"/>
      <c r="D1" s="15"/>
      <c r="E1" s="2" t="s">
        <v>59</v>
      </c>
      <c r="F1" s="2"/>
      <c r="G1" s="2"/>
      <c r="H1" s="15"/>
      <c r="I1" s="2" t="s">
        <v>61</v>
      </c>
      <c r="K1" s="15"/>
      <c r="L1" s="2" t="s">
        <v>89</v>
      </c>
    </row>
    <row r="2" spans="1:33" ht="12.75">
      <c r="A2" s="1" t="s">
        <v>1</v>
      </c>
      <c r="B2" s="2">
        <v>1</v>
      </c>
      <c r="C2" s="2">
        <v>2</v>
      </c>
      <c r="D2" s="15"/>
      <c r="E2" s="2">
        <v>1</v>
      </c>
      <c r="F2" s="2">
        <v>2</v>
      </c>
      <c r="G2" s="2">
        <v>2</v>
      </c>
      <c r="H2" s="15"/>
      <c r="I2" s="2">
        <v>1</v>
      </c>
      <c r="J2" s="2">
        <v>2</v>
      </c>
      <c r="K2" s="15"/>
      <c r="L2" s="2">
        <v>1</v>
      </c>
      <c r="M2" s="2">
        <v>2</v>
      </c>
      <c r="N2" s="2">
        <v>2</v>
      </c>
      <c r="O2" s="2">
        <v>2</v>
      </c>
      <c r="P2" s="2">
        <v>2</v>
      </c>
      <c r="Q2" s="2">
        <v>2</v>
      </c>
      <c r="R2" s="2">
        <v>2</v>
      </c>
      <c r="S2" s="2">
        <v>2</v>
      </c>
      <c r="T2" s="2">
        <v>2</v>
      </c>
      <c r="U2" s="2">
        <v>2</v>
      </c>
      <c r="V2" s="2">
        <v>2</v>
      </c>
      <c r="W2" s="2">
        <v>2</v>
      </c>
      <c r="X2" s="2">
        <v>2</v>
      </c>
      <c r="Y2" s="2">
        <v>2</v>
      </c>
      <c r="Z2" s="2">
        <v>2</v>
      </c>
      <c r="AA2" s="2">
        <v>2</v>
      </c>
      <c r="AB2" s="2">
        <v>2</v>
      </c>
      <c r="AC2" s="2">
        <v>2</v>
      </c>
      <c r="AD2" s="2">
        <v>2</v>
      </c>
      <c r="AE2" s="2">
        <v>2</v>
      </c>
      <c r="AF2" s="2">
        <v>2</v>
      </c>
      <c r="AG2" s="2">
        <v>2</v>
      </c>
    </row>
    <row r="3" spans="1:33" ht="12.75">
      <c r="A3" s="1" t="s">
        <v>8</v>
      </c>
      <c r="B3" s="27" t="str">
        <f>IF(B2=1,"First",IF(B2=2,"Main","?"))</f>
        <v>First</v>
      </c>
      <c r="C3" s="27" t="str">
        <f>IF(C2=1,"First",IF(C2=2,"Main","?"))</f>
        <v>Main</v>
      </c>
      <c r="D3" s="28"/>
      <c r="E3" s="27" t="str">
        <f>IF(E2=1,"First",IF(E2=2,"Main","?"))</f>
        <v>First</v>
      </c>
      <c r="F3" s="27" t="str">
        <f>IF(F2=1,"First",IF(F2=2,"Main","?"))</f>
        <v>Main</v>
      </c>
      <c r="G3" s="27" t="str">
        <f>IF(G2=1,"First",IF(G2=2,"Main","?"))</f>
        <v>Main</v>
      </c>
      <c r="H3" s="28"/>
      <c r="I3" s="27" t="str">
        <f>IF(I2=1,"First",IF(I2=2,"Main","?"))</f>
        <v>First</v>
      </c>
      <c r="J3" s="27" t="str">
        <f>IF(J2=1,"First",IF(J2=2,"Main","?"))</f>
        <v>Main</v>
      </c>
      <c r="K3" s="28"/>
      <c r="L3" s="27" t="str">
        <f aca="true" t="shared" si="0" ref="L3:AA3">IF(L2=1,"First",IF(L2=2,"Main","?"))</f>
        <v>First</v>
      </c>
      <c r="M3" s="27" t="str">
        <f t="shared" si="0"/>
        <v>Main</v>
      </c>
      <c r="N3" s="27" t="str">
        <f t="shared" si="0"/>
        <v>Main</v>
      </c>
      <c r="O3" s="27" t="str">
        <f t="shared" si="0"/>
        <v>Main</v>
      </c>
      <c r="P3" s="27" t="str">
        <f t="shared" si="0"/>
        <v>Main</v>
      </c>
      <c r="Q3" s="27" t="str">
        <f>IF(Q2=1,"First",IF(Q2=2,"Main","?"))</f>
        <v>Main</v>
      </c>
      <c r="R3" s="27" t="str">
        <f aca="true" t="shared" si="1" ref="R3:W3">IF(R2=1,"First",IF(R2=2,"Main","?"))</f>
        <v>Main</v>
      </c>
      <c r="S3" s="27" t="str">
        <f t="shared" si="1"/>
        <v>Main</v>
      </c>
      <c r="T3" s="27" t="str">
        <f t="shared" si="1"/>
        <v>Main</v>
      </c>
      <c r="U3" s="27" t="str">
        <f t="shared" si="1"/>
        <v>Main</v>
      </c>
      <c r="V3" s="27" t="str">
        <f t="shared" si="1"/>
        <v>Main</v>
      </c>
      <c r="W3" s="27" t="str">
        <f t="shared" si="1"/>
        <v>Main</v>
      </c>
      <c r="X3" s="27" t="str">
        <f t="shared" si="0"/>
        <v>Main</v>
      </c>
      <c r="Y3" s="27" t="str">
        <f t="shared" si="0"/>
        <v>Main</v>
      </c>
      <c r="Z3" s="27" t="str">
        <f t="shared" si="0"/>
        <v>Main</v>
      </c>
      <c r="AA3" s="27" t="str">
        <f t="shared" si="0"/>
        <v>Main</v>
      </c>
      <c r="AB3" s="27" t="str">
        <f aca="true" t="shared" si="2" ref="AB3:AG3">IF(AB2=1,"First",IF(AB2=2,"Main","?"))</f>
        <v>Main</v>
      </c>
      <c r="AC3" s="27" t="str">
        <f t="shared" si="2"/>
        <v>Main</v>
      </c>
      <c r="AD3" s="27" t="str">
        <f t="shared" si="2"/>
        <v>Main</v>
      </c>
      <c r="AE3" s="27" t="str">
        <f t="shared" si="2"/>
        <v>Main</v>
      </c>
      <c r="AF3" s="27" t="str">
        <f t="shared" si="2"/>
        <v>Main</v>
      </c>
      <c r="AG3" s="27" t="str">
        <f t="shared" si="2"/>
        <v>Main</v>
      </c>
    </row>
    <row r="4" spans="1:33" ht="12.75">
      <c r="A4" s="1" t="s">
        <v>0</v>
      </c>
      <c r="B4" s="2">
        <v>175</v>
      </c>
      <c r="C4" s="3">
        <f>$B4</f>
        <v>175</v>
      </c>
      <c r="D4" s="15"/>
      <c r="E4" s="3">
        <f aca="true" t="shared" si="3" ref="E4:F8">$B4</f>
        <v>175</v>
      </c>
      <c r="F4" s="3">
        <f t="shared" si="3"/>
        <v>175</v>
      </c>
      <c r="G4" s="3">
        <f aca="true" t="shared" si="4" ref="G4:AB8">$B4</f>
        <v>175</v>
      </c>
      <c r="H4" s="15"/>
      <c r="I4" s="3">
        <f t="shared" si="4"/>
        <v>175</v>
      </c>
      <c r="J4" s="3">
        <f t="shared" si="4"/>
        <v>175</v>
      </c>
      <c r="K4" s="15"/>
      <c r="L4" s="3">
        <f>$B4</f>
        <v>175</v>
      </c>
      <c r="M4" s="3">
        <f t="shared" si="4"/>
        <v>175</v>
      </c>
      <c r="N4" s="3">
        <f t="shared" si="4"/>
        <v>175</v>
      </c>
      <c r="O4" s="3">
        <f t="shared" si="4"/>
        <v>175</v>
      </c>
      <c r="P4" s="3">
        <f t="shared" si="4"/>
        <v>175</v>
      </c>
      <c r="Q4" s="3">
        <f t="shared" si="4"/>
        <v>175</v>
      </c>
      <c r="R4" s="3">
        <f t="shared" si="4"/>
        <v>175</v>
      </c>
      <c r="S4" s="3">
        <f t="shared" si="4"/>
        <v>175</v>
      </c>
      <c r="T4" s="3">
        <f t="shared" si="4"/>
        <v>175</v>
      </c>
      <c r="U4" s="3">
        <f t="shared" si="4"/>
        <v>175</v>
      </c>
      <c r="V4" s="3">
        <f t="shared" si="4"/>
        <v>175</v>
      </c>
      <c r="W4" s="3">
        <f t="shared" si="4"/>
        <v>175</v>
      </c>
      <c r="X4" s="3">
        <f t="shared" si="4"/>
        <v>175</v>
      </c>
      <c r="Y4" s="3">
        <f t="shared" si="4"/>
        <v>175</v>
      </c>
      <c r="Z4" s="3">
        <f t="shared" si="4"/>
        <v>175</v>
      </c>
      <c r="AA4" s="3">
        <f t="shared" si="4"/>
        <v>175</v>
      </c>
      <c r="AB4" s="3">
        <f t="shared" si="4"/>
        <v>175</v>
      </c>
      <c r="AC4" s="3">
        <f aca="true" t="shared" si="5" ref="AB4:AG8">$B4</f>
        <v>175</v>
      </c>
      <c r="AD4" s="3">
        <f t="shared" si="5"/>
        <v>175</v>
      </c>
      <c r="AE4" s="3">
        <f t="shared" si="5"/>
        <v>175</v>
      </c>
      <c r="AF4" s="3">
        <f t="shared" si="5"/>
        <v>175</v>
      </c>
      <c r="AG4" s="3">
        <f t="shared" si="5"/>
        <v>175</v>
      </c>
    </row>
    <row r="5" spans="1:33" ht="12.75">
      <c r="A5" s="1" t="s">
        <v>5</v>
      </c>
      <c r="B5" s="2">
        <v>50</v>
      </c>
      <c r="C5" s="3">
        <f>$B5</f>
        <v>50</v>
      </c>
      <c r="D5" s="15"/>
      <c r="E5" s="3">
        <f t="shared" si="3"/>
        <v>50</v>
      </c>
      <c r="F5" s="3">
        <f t="shared" si="3"/>
        <v>50</v>
      </c>
      <c r="G5" s="3">
        <f t="shared" si="4"/>
        <v>50</v>
      </c>
      <c r="H5" s="15"/>
      <c r="I5" s="3">
        <f t="shared" si="4"/>
        <v>50</v>
      </c>
      <c r="J5" s="3">
        <f t="shared" si="4"/>
        <v>50</v>
      </c>
      <c r="K5" s="15"/>
      <c r="L5" s="3">
        <f>$B5</f>
        <v>50</v>
      </c>
      <c r="M5" s="3">
        <f t="shared" si="4"/>
        <v>50</v>
      </c>
      <c r="N5" s="3">
        <f t="shared" si="4"/>
        <v>50</v>
      </c>
      <c r="O5" s="3">
        <f t="shared" si="4"/>
        <v>50</v>
      </c>
      <c r="P5" s="3">
        <f t="shared" si="4"/>
        <v>50</v>
      </c>
      <c r="Q5" s="3">
        <f t="shared" si="4"/>
        <v>50</v>
      </c>
      <c r="R5" s="3">
        <f t="shared" si="4"/>
        <v>50</v>
      </c>
      <c r="S5" s="3">
        <f t="shared" si="4"/>
        <v>50</v>
      </c>
      <c r="T5" s="3">
        <f t="shared" si="4"/>
        <v>50</v>
      </c>
      <c r="U5" s="3">
        <f t="shared" si="4"/>
        <v>50</v>
      </c>
      <c r="V5" s="3">
        <f t="shared" si="4"/>
        <v>50</v>
      </c>
      <c r="W5" s="3">
        <f t="shared" si="4"/>
        <v>50</v>
      </c>
      <c r="X5" s="3">
        <f t="shared" si="4"/>
        <v>50</v>
      </c>
      <c r="Y5" s="3">
        <f t="shared" si="4"/>
        <v>50</v>
      </c>
      <c r="Z5" s="3">
        <f t="shared" si="4"/>
        <v>50</v>
      </c>
      <c r="AA5" s="3">
        <f t="shared" si="4"/>
        <v>50</v>
      </c>
      <c r="AB5" s="3">
        <f t="shared" si="5"/>
        <v>50</v>
      </c>
      <c r="AC5" s="3">
        <f t="shared" si="5"/>
        <v>50</v>
      </c>
      <c r="AD5" s="3">
        <f t="shared" si="5"/>
        <v>50</v>
      </c>
      <c r="AE5" s="3">
        <f t="shared" si="5"/>
        <v>50</v>
      </c>
      <c r="AF5" s="3">
        <f t="shared" si="5"/>
        <v>50</v>
      </c>
      <c r="AG5" s="3">
        <f t="shared" si="5"/>
        <v>50</v>
      </c>
    </row>
    <row r="6" spans="1:33" ht="12.75">
      <c r="A6" s="1" t="s">
        <v>2</v>
      </c>
      <c r="B6" s="2">
        <v>3</v>
      </c>
      <c r="C6" s="3">
        <f>$B6</f>
        <v>3</v>
      </c>
      <c r="D6" s="15"/>
      <c r="E6" s="3">
        <f t="shared" si="3"/>
        <v>3</v>
      </c>
      <c r="F6" s="3">
        <f t="shared" si="3"/>
        <v>3</v>
      </c>
      <c r="G6" s="3">
        <f t="shared" si="4"/>
        <v>3</v>
      </c>
      <c r="H6" s="15"/>
      <c r="I6" s="3">
        <f t="shared" si="4"/>
        <v>3</v>
      </c>
      <c r="J6" s="3">
        <f t="shared" si="4"/>
        <v>3</v>
      </c>
      <c r="K6" s="15"/>
      <c r="L6" s="3">
        <f>$B6</f>
        <v>3</v>
      </c>
      <c r="M6" s="3">
        <f t="shared" si="4"/>
        <v>3</v>
      </c>
      <c r="N6" s="3">
        <f t="shared" si="4"/>
        <v>3</v>
      </c>
      <c r="O6" s="3">
        <f t="shared" si="4"/>
        <v>3</v>
      </c>
      <c r="P6" s="3">
        <f t="shared" si="4"/>
        <v>3</v>
      </c>
      <c r="Q6" s="3">
        <f t="shared" si="4"/>
        <v>3</v>
      </c>
      <c r="R6" s="3">
        <f t="shared" si="4"/>
        <v>3</v>
      </c>
      <c r="S6" s="3">
        <f t="shared" si="4"/>
        <v>3</v>
      </c>
      <c r="T6" s="3">
        <f t="shared" si="4"/>
        <v>3</v>
      </c>
      <c r="U6" s="3">
        <f t="shared" si="4"/>
        <v>3</v>
      </c>
      <c r="V6" s="3">
        <f t="shared" si="4"/>
        <v>3</v>
      </c>
      <c r="W6" s="3">
        <f t="shared" si="4"/>
        <v>3</v>
      </c>
      <c r="X6" s="3">
        <f t="shared" si="4"/>
        <v>3</v>
      </c>
      <c r="Y6" s="3">
        <f t="shared" si="4"/>
        <v>3</v>
      </c>
      <c r="Z6" s="3">
        <f t="shared" si="4"/>
        <v>3</v>
      </c>
      <c r="AA6" s="3">
        <f t="shared" si="4"/>
        <v>3</v>
      </c>
      <c r="AB6" s="3">
        <f t="shared" si="5"/>
        <v>3</v>
      </c>
      <c r="AC6" s="3">
        <f t="shared" si="5"/>
        <v>3</v>
      </c>
      <c r="AD6" s="3">
        <f t="shared" si="5"/>
        <v>3</v>
      </c>
      <c r="AE6" s="3">
        <f t="shared" si="5"/>
        <v>3</v>
      </c>
      <c r="AF6" s="3">
        <f t="shared" si="5"/>
        <v>3</v>
      </c>
      <c r="AG6" s="3">
        <f t="shared" si="5"/>
        <v>3</v>
      </c>
    </row>
    <row r="7" spans="1:33" ht="12.75">
      <c r="A7" s="1" t="s">
        <v>3</v>
      </c>
      <c r="B7" s="3">
        <f>IF(1=B2,0.7,IF(2=B2,0.8,1))</f>
        <v>0.7</v>
      </c>
      <c r="C7" s="3">
        <f>IF(1=C2,0.7,IF(2=C2,0.8,1))</f>
        <v>0.8</v>
      </c>
      <c r="D7" s="15"/>
      <c r="E7" s="3">
        <f>IF(1=E2,0.7,IF(2=E2,0.8,1))</f>
        <v>0.7</v>
      </c>
      <c r="F7" s="3">
        <f>IF(1=F2,0.7,IF(2=F2,0.8,1))</f>
        <v>0.8</v>
      </c>
      <c r="G7" s="3">
        <f>IF(1=G2,0.7,IF(2=G2,0.8,1))</f>
        <v>0.8</v>
      </c>
      <c r="H7" s="15"/>
      <c r="I7" s="3">
        <f>IF(1=I2,0.7,IF(2=I2,0.8,1))</f>
        <v>0.7</v>
      </c>
      <c r="J7" s="3">
        <f>IF(1=J2,0.7,IF(2=J2,0.8,1))</f>
        <v>0.8</v>
      </c>
      <c r="K7" s="15"/>
      <c r="L7" s="3">
        <f aca="true" t="shared" si="6" ref="L7:AG7">IF(1=L2,0.7,IF(2=L2,0.8,1))</f>
        <v>0.7</v>
      </c>
      <c r="M7" s="3">
        <f t="shared" si="6"/>
        <v>0.8</v>
      </c>
      <c r="N7" s="3">
        <f t="shared" si="6"/>
        <v>0.8</v>
      </c>
      <c r="O7" s="3">
        <f t="shared" si="6"/>
        <v>0.8</v>
      </c>
      <c r="P7" s="3">
        <f t="shared" si="6"/>
        <v>0.8</v>
      </c>
      <c r="Q7" s="3">
        <f t="shared" si="6"/>
        <v>0.8</v>
      </c>
      <c r="R7" s="3">
        <f t="shared" si="6"/>
        <v>0.8</v>
      </c>
      <c r="S7" s="3">
        <f t="shared" si="6"/>
        <v>0.8</v>
      </c>
      <c r="T7" s="3">
        <f t="shared" si="6"/>
        <v>0.8</v>
      </c>
      <c r="U7" s="3">
        <f t="shared" si="6"/>
        <v>0.8</v>
      </c>
      <c r="V7" s="3">
        <f t="shared" si="6"/>
        <v>0.8</v>
      </c>
      <c r="W7" s="3">
        <f t="shared" si="6"/>
        <v>0.8</v>
      </c>
      <c r="X7" s="3">
        <f t="shared" si="6"/>
        <v>0.8</v>
      </c>
      <c r="Y7" s="3">
        <f t="shared" si="6"/>
        <v>0.8</v>
      </c>
      <c r="Z7" s="3">
        <f t="shared" si="6"/>
        <v>0.8</v>
      </c>
      <c r="AA7" s="3">
        <f t="shared" si="6"/>
        <v>0.8</v>
      </c>
      <c r="AB7" s="3">
        <f t="shared" si="6"/>
        <v>0.8</v>
      </c>
      <c r="AC7" s="3">
        <f t="shared" si="6"/>
        <v>0.8</v>
      </c>
      <c r="AD7" s="3">
        <f t="shared" si="6"/>
        <v>0.8</v>
      </c>
      <c r="AE7" s="3">
        <f t="shared" si="6"/>
        <v>0.8</v>
      </c>
      <c r="AF7" s="3">
        <f t="shared" si="6"/>
        <v>0.8</v>
      </c>
      <c r="AG7" s="3">
        <f t="shared" si="6"/>
        <v>0.8</v>
      </c>
    </row>
    <row r="8" spans="1:33" ht="12.75">
      <c r="A8" s="1" t="s">
        <v>4</v>
      </c>
      <c r="B8" s="2">
        <v>1.1</v>
      </c>
      <c r="C8" s="3">
        <f>$B8</f>
        <v>1.1</v>
      </c>
      <c r="D8" s="15"/>
      <c r="E8" s="3">
        <f t="shared" si="3"/>
        <v>1.1</v>
      </c>
      <c r="F8" s="3">
        <f t="shared" si="3"/>
        <v>1.1</v>
      </c>
      <c r="G8" s="3">
        <f t="shared" si="4"/>
        <v>1.1</v>
      </c>
      <c r="H8" s="15"/>
      <c r="I8" s="3">
        <f t="shared" si="4"/>
        <v>1.1</v>
      </c>
      <c r="J8" s="3">
        <f t="shared" si="4"/>
        <v>1.1</v>
      </c>
      <c r="K8" s="15"/>
      <c r="L8" s="3">
        <f>$B8</f>
        <v>1.1</v>
      </c>
      <c r="M8" s="3">
        <f t="shared" si="4"/>
        <v>1.1</v>
      </c>
      <c r="N8" s="3">
        <f t="shared" si="4"/>
        <v>1.1</v>
      </c>
      <c r="O8" s="3">
        <f t="shared" si="4"/>
        <v>1.1</v>
      </c>
      <c r="P8" s="3">
        <f t="shared" si="4"/>
        <v>1.1</v>
      </c>
      <c r="Q8" s="3">
        <f t="shared" si="4"/>
        <v>1.1</v>
      </c>
      <c r="R8" s="3">
        <f t="shared" si="4"/>
        <v>1.1</v>
      </c>
      <c r="S8" s="3">
        <f t="shared" si="4"/>
        <v>1.1</v>
      </c>
      <c r="T8" s="3">
        <f t="shared" si="4"/>
        <v>1.1</v>
      </c>
      <c r="U8" s="3">
        <f t="shared" si="4"/>
        <v>1.1</v>
      </c>
      <c r="V8" s="3">
        <f t="shared" si="4"/>
        <v>1.1</v>
      </c>
      <c r="W8" s="3">
        <f t="shared" si="4"/>
        <v>1.1</v>
      </c>
      <c r="X8" s="3">
        <f t="shared" si="4"/>
        <v>1.1</v>
      </c>
      <c r="Y8" s="3">
        <f t="shared" si="4"/>
        <v>1.1</v>
      </c>
      <c r="Z8" s="3">
        <f t="shared" si="4"/>
        <v>1.1</v>
      </c>
      <c r="AA8" s="3">
        <f t="shared" si="4"/>
        <v>1.1</v>
      </c>
      <c r="AB8" s="3">
        <f t="shared" si="5"/>
        <v>1.1</v>
      </c>
      <c r="AC8" s="3">
        <f t="shared" si="5"/>
        <v>1.1</v>
      </c>
      <c r="AD8" s="3">
        <f t="shared" si="5"/>
        <v>1.1</v>
      </c>
      <c r="AE8" s="3">
        <f t="shared" si="5"/>
        <v>1.1</v>
      </c>
      <c r="AF8" s="3">
        <f t="shared" si="5"/>
        <v>1.1</v>
      </c>
      <c r="AG8" s="3">
        <f t="shared" si="5"/>
        <v>1.1</v>
      </c>
    </row>
    <row r="9" spans="1:33" ht="12.75">
      <c r="A9" s="1" t="s">
        <v>6</v>
      </c>
      <c r="B9" s="4">
        <f>5/8</f>
        <v>0.625</v>
      </c>
      <c r="C9" s="4">
        <v>1</v>
      </c>
      <c r="D9" s="16"/>
      <c r="E9" s="4">
        <f>5/8</f>
        <v>0.625</v>
      </c>
      <c r="F9" s="4">
        <f>7/8</f>
        <v>0.875</v>
      </c>
      <c r="G9" s="4">
        <v>0.75</v>
      </c>
      <c r="H9" s="16"/>
      <c r="I9" s="4">
        <v>0.5</v>
      </c>
      <c r="J9" s="4">
        <f>3/4</f>
        <v>0.75</v>
      </c>
      <c r="K9" s="16"/>
      <c r="L9" s="53">
        <v>0.5</v>
      </c>
      <c r="M9" s="53">
        <f>5/8</f>
        <v>0.625</v>
      </c>
      <c r="N9" s="53">
        <v>0.75</v>
      </c>
      <c r="O9" s="53">
        <v>0.75</v>
      </c>
      <c r="P9" s="53">
        <v>0.75</v>
      </c>
      <c r="Q9" s="53">
        <f>7/8</f>
        <v>0.875</v>
      </c>
      <c r="R9" s="53">
        <f>7/8</f>
        <v>0.875</v>
      </c>
      <c r="S9" s="53">
        <f>7/8</f>
        <v>0.875</v>
      </c>
      <c r="T9" s="53">
        <f>7/8</f>
        <v>0.875</v>
      </c>
      <c r="U9" s="53">
        <v>1</v>
      </c>
      <c r="V9" s="53">
        <v>1</v>
      </c>
      <c r="W9" s="53">
        <v>1</v>
      </c>
      <c r="X9" s="53">
        <f>5/8</f>
        <v>0.625</v>
      </c>
      <c r="Y9" s="53">
        <v>0.75</v>
      </c>
      <c r="Z9" s="53">
        <v>0.75</v>
      </c>
      <c r="AA9" s="53">
        <v>0.75</v>
      </c>
      <c r="AB9" s="53">
        <f>7/8</f>
        <v>0.875</v>
      </c>
      <c r="AC9" s="53">
        <f>7/8</f>
        <v>0.875</v>
      </c>
      <c r="AD9" s="53">
        <f>7/8</f>
        <v>0.875</v>
      </c>
      <c r="AE9" s="53">
        <f>7/8</f>
        <v>0.875</v>
      </c>
      <c r="AF9" s="53">
        <v>1</v>
      </c>
      <c r="AG9" s="53">
        <v>1</v>
      </c>
    </row>
    <row r="10" spans="1:33" ht="12.75">
      <c r="A10" s="1" t="s">
        <v>7</v>
      </c>
      <c r="B10" s="2">
        <v>0.093</v>
      </c>
      <c r="C10" s="2">
        <f>(0.055+0.065)/2</f>
        <v>0.06</v>
      </c>
      <c r="D10" s="15"/>
      <c r="E10" s="2">
        <v>0.058</v>
      </c>
      <c r="F10" s="2">
        <v>0.058</v>
      </c>
      <c r="G10" s="2">
        <f>1/16</f>
        <v>0.0625</v>
      </c>
      <c r="H10" s="15"/>
      <c r="I10" s="4">
        <v>0.035</v>
      </c>
      <c r="J10" s="2">
        <v>0.035</v>
      </c>
      <c r="K10" s="15"/>
      <c r="L10" s="19">
        <v>0.065</v>
      </c>
      <c r="M10" s="19">
        <v>0.058</v>
      </c>
      <c r="N10" s="19">
        <v>0.035</v>
      </c>
      <c r="O10" s="19">
        <v>0.049</v>
      </c>
      <c r="P10" s="19">
        <v>0.065</v>
      </c>
      <c r="Q10" s="19">
        <v>0.035</v>
      </c>
      <c r="R10" s="19">
        <v>0.049</v>
      </c>
      <c r="S10" s="19">
        <v>0.058</v>
      </c>
      <c r="T10" s="19">
        <v>0.065</v>
      </c>
      <c r="U10" s="19">
        <v>0.035</v>
      </c>
      <c r="V10" s="19">
        <v>0.049</v>
      </c>
      <c r="W10" s="19">
        <v>0.058</v>
      </c>
      <c r="X10" s="19">
        <v>0.065</v>
      </c>
      <c r="Y10" s="19">
        <v>0.049</v>
      </c>
      <c r="Z10" s="19">
        <v>0.058</v>
      </c>
      <c r="AA10" s="19">
        <v>0.065</v>
      </c>
      <c r="AB10" s="19">
        <v>0.035</v>
      </c>
      <c r="AC10" s="19">
        <v>0.049</v>
      </c>
      <c r="AD10" s="19">
        <v>0.058</v>
      </c>
      <c r="AE10" s="19">
        <v>0.065</v>
      </c>
      <c r="AF10" s="19">
        <v>0.035</v>
      </c>
      <c r="AG10" s="19">
        <v>0.049</v>
      </c>
    </row>
    <row r="11" spans="1:33" ht="12.75">
      <c r="A11" s="1" t="s">
        <v>62</v>
      </c>
      <c r="B11" s="19">
        <v>13</v>
      </c>
      <c r="C11" s="7">
        <f>B11</f>
        <v>13</v>
      </c>
      <c r="D11" s="15"/>
      <c r="E11" s="5">
        <v>8</v>
      </c>
      <c r="F11" s="6">
        <f>$E11</f>
        <v>8</v>
      </c>
      <c r="G11" s="5">
        <v>6</v>
      </c>
      <c r="H11" s="15"/>
      <c r="I11" s="5">
        <v>10</v>
      </c>
      <c r="J11" s="6">
        <f>I11</f>
        <v>10</v>
      </c>
      <c r="K11" s="15"/>
      <c r="L11" s="5">
        <v>3</v>
      </c>
      <c r="M11" s="6">
        <f>$L11</f>
        <v>3</v>
      </c>
      <c r="N11" s="6">
        <f>$L11</f>
        <v>3</v>
      </c>
      <c r="O11" s="6">
        <f>$L11</f>
        <v>3</v>
      </c>
      <c r="P11" s="6">
        <f>$L11</f>
        <v>3</v>
      </c>
      <c r="Q11" s="6">
        <f aca="true" t="shared" si="7" ref="Q11:W11">$L11</f>
        <v>3</v>
      </c>
      <c r="R11" s="6">
        <f t="shared" si="7"/>
        <v>3</v>
      </c>
      <c r="S11" s="6">
        <f t="shared" si="7"/>
        <v>3</v>
      </c>
      <c r="T11" s="6">
        <f t="shared" si="7"/>
        <v>3</v>
      </c>
      <c r="U11" s="6">
        <f t="shared" si="7"/>
        <v>3</v>
      </c>
      <c r="V11" s="6">
        <f t="shared" si="7"/>
        <v>3</v>
      </c>
      <c r="W11" s="6">
        <f t="shared" si="7"/>
        <v>3</v>
      </c>
      <c r="X11" s="5">
        <v>6</v>
      </c>
      <c r="Y11" s="6">
        <f>$X11</f>
        <v>6</v>
      </c>
      <c r="Z11" s="6">
        <f>$X11</f>
        <v>6</v>
      </c>
      <c r="AA11" s="6">
        <f>$X11</f>
        <v>6</v>
      </c>
      <c r="AB11" s="6">
        <f aca="true" t="shared" si="8" ref="AB11:AG11">$X11</f>
        <v>6</v>
      </c>
      <c r="AC11" s="6">
        <f t="shared" si="8"/>
        <v>6</v>
      </c>
      <c r="AD11" s="6">
        <f t="shared" si="8"/>
        <v>6</v>
      </c>
      <c r="AE11" s="6">
        <f t="shared" si="8"/>
        <v>6</v>
      </c>
      <c r="AF11" s="6">
        <f t="shared" si="8"/>
        <v>6</v>
      </c>
      <c r="AG11" s="6">
        <f t="shared" si="8"/>
        <v>6</v>
      </c>
    </row>
    <row r="12" spans="1:33" ht="12.75">
      <c r="A12" s="1" t="s">
        <v>40</v>
      </c>
      <c r="B12" s="6" t="str">
        <f>VLOOKUP(B11,Materials!$A$4:$C$16,2)</f>
        <v>MD 5/8" OD</v>
      </c>
      <c r="C12" s="6" t="str">
        <f>VLOOKUP(C11,Materials!$A$4:$C$16,2)</f>
        <v>MD 5/8" OD</v>
      </c>
      <c r="D12" s="15"/>
      <c r="E12" s="6" t="str">
        <f>VLOOKUP(E11,Materials!$A$4:$C$16,2)</f>
        <v>6063-T8</v>
      </c>
      <c r="F12" s="6" t="str">
        <f>VLOOKUP(F11,Materials!$A$4:$C$16,2)</f>
        <v>6063-T8</v>
      </c>
      <c r="G12" s="6" t="str">
        <f>VLOOKUP(G11,Materials!$A$4:$C$16,2)</f>
        <v>6061-T6</v>
      </c>
      <c r="H12" s="15"/>
      <c r="I12" s="6" t="str">
        <f>VLOOKUP(I11,Materials!$A$4:$C$16,2)</f>
        <v>7075-T6</v>
      </c>
      <c r="J12" s="6" t="str">
        <f>VLOOKUP(J11,Materials!$A$4:$C$16,2)</f>
        <v>7075-T6</v>
      </c>
      <c r="K12" s="15"/>
      <c r="L12" s="6" t="str">
        <f>VLOOKUP(L11,Materials!$A$4:$C$16,2)</f>
        <v>2024-T3</v>
      </c>
      <c r="M12" s="6" t="str">
        <f>VLOOKUP(M11,Materials!$A$4:$C$16,2)</f>
        <v>2024-T3</v>
      </c>
      <c r="N12" s="6" t="str">
        <f>VLOOKUP(N11,Materials!$A$4:$C$16,2)</f>
        <v>2024-T3</v>
      </c>
      <c r="O12" s="6" t="str">
        <f>VLOOKUP(O11,Materials!$A$4:$C$16,2)</f>
        <v>2024-T3</v>
      </c>
      <c r="P12" s="6" t="str">
        <f>VLOOKUP(P11,Materials!$A$4:$C$16,2)</f>
        <v>2024-T3</v>
      </c>
      <c r="Q12" s="6" t="str">
        <f>VLOOKUP(Q11,Materials!$A$4:$C$16,2)</f>
        <v>2024-T3</v>
      </c>
      <c r="R12" s="6" t="str">
        <f>VLOOKUP(R11,Materials!$A$4:$C$16,2)</f>
        <v>2024-T3</v>
      </c>
      <c r="S12" s="6" t="str">
        <f>VLOOKUP(S11,Materials!$A$4:$C$16,2)</f>
        <v>2024-T3</v>
      </c>
      <c r="T12" s="6" t="str">
        <f>VLOOKUP(T11,Materials!$A$4:$C$16,2)</f>
        <v>2024-T3</v>
      </c>
      <c r="U12" s="6" t="str">
        <f>VLOOKUP(U11,Materials!$A$4:$C$16,2)</f>
        <v>2024-T3</v>
      </c>
      <c r="V12" s="6" t="str">
        <f>VLOOKUP(V11,Materials!$A$4:$C$16,2)</f>
        <v>2024-T3</v>
      </c>
      <c r="W12" s="6" t="str">
        <f>VLOOKUP(W11,Materials!$A$4:$C$16,2)</f>
        <v>2024-T3</v>
      </c>
      <c r="X12" s="6" t="str">
        <f>VLOOKUP(X11,Materials!$A$4:$C$16,2)</f>
        <v>6061-T6</v>
      </c>
      <c r="Y12" s="6" t="str">
        <f>VLOOKUP(Y11,Materials!$A$4:$C$16,2)</f>
        <v>6061-T6</v>
      </c>
      <c r="Z12" s="6" t="str">
        <f>VLOOKUP(Z11,Materials!$A$4:$C$16,2)</f>
        <v>6061-T6</v>
      </c>
      <c r="AA12" s="6" t="str">
        <f>VLOOKUP(AA11,Materials!$A$4:$C$16,2)</f>
        <v>6061-T6</v>
      </c>
      <c r="AB12" s="6" t="str">
        <f>VLOOKUP(AB11,Materials!$A$4:$C$16,2)</f>
        <v>6061-T6</v>
      </c>
      <c r="AC12" s="6" t="str">
        <f>VLOOKUP(AC11,Materials!$A$4:$C$16,2)</f>
        <v>6061-T6</v>
      </c>
      <c r="AD12" s="6" t="str">
        <f>VLOOKUP(AD11,Materials!$A$4:$C$16,2)</f>
        <v>6061-T6</v>
      </c>
      <c r="AE12" s="6" t="str">
        <f>VLOOKUP(AE11,Materials!$A$4:$C$16,2)</f>
        <v>6061-T6</v>
      </c>
      <c r="AF12" s="6" t="str">
        <f>VLOOKUP(AF11,Materials!$A$4:$C$16,2)</f>
        <v>6061-T6</v>
      </c>
      <c r="AG12" s="6" t="str">
        <f>VLOOKUP(AG11,Materials!$A$4:$C$16,2)</f>
        <v>6061-T6</v>
      </c>
    </row>
    <row r="13" spans="1:33" ht="12.75">
      <c r="A13" s="1" t="s">
        <v>24</v>
      </c>
      <c r="B13" s="8">
        <f>VLOOKUP(B11,Materials!$A$4:$C$16,3)</f>
        <v>292.91945201587515</v>
      </c>
      <c r="C13" s="8">
        <f>VLOOKUP(C11,Materials!$A$4:$C$16,3)</f>
        <v>292.91945201587515</v>
      </c>
      <c r="D13" s="15"/>
      <c r="E13" s="3">
        <f>VLOOKUP(E11,Materials!$A$4:$C$16,3)</f>
        <v>225</v>
      </c>
      <c r="F13" s="3">
        <f>VLOOKUP(F11,Materials!$A$4:$C$16,3)</f>
        <v>225</v>
      </c>
      <c r="G13" s="3">
        <f>VLOOKUP(G11,Materials!$A$4:$C$16,3)</f>
        <v>275</v>
      </c>
      <c r="H13" s="15"/>
      <c r="I13" s="3">
        <f>VLOOKUP(I11,Materials!$A$4:$C$16,3)</f>
        <v>505</v>
      </c>
      <c r="J13" s="3">
        <f>VLOOKUP(J11,Materials!$A$4:$C$16,3)</f>
        <v>505</v>
      </c>
      <c r="K13" s="15"/>
      <c r="L13" s="3">
        <f>VLOOKUP(L11,Materials!$A$4:$C$16,3)</f>
        <v>345</v>
      </c>
      <c r="M13" s="3">
        <f>VLOOKUP(M11,Materials!$A$4:$C$16,3)</f>
        <v>345</v>
      </c>
      <c r="N13" s="3">
        <f>VLOOKUP(N11,Materials!$A$4:$C$16,3)</f>
        <v>345</v>
      </c>
      <c r="O13" s="3">
        <f>VLOOKUP(O11,Materials!$A$4:$C$16,3)</f>
        <v>345</v>
      </c>
      <c r="P13" s="3">
        <f>VLOOKUP(P11,Materials!$A$4:$C$16,3)</f>
        <v>345</v>
      </c>
      <c r="Q13" s="3">
        <f>VLOOKUP(Q11,Materials!$A$4:$C$16,3)</f>
        <v>345</v>
      </c>
      <c r="R13" s="3">
        <f>VLOOKUP(R11,Materials!$A$4:$C$16,3)</f>
        <v>345</v>
      </c>
      <c r="S13" s="3">
        <f>VLOOKUP(S11,Materials!$A$4:$C$16,3)</f>
        <v>345</v>
      </c>
      <c r="T13" s="3">
        <f>VLOOKUP(T11,Materials!$A$4:$C$16,3)</f>
        <v>345</v>
      </c>
      <c r="U13" s="3">
        <f>VLOOKUP(U11,Materials!$A$4:$C$16,3)</f>
        <v>345</v>
      </c>
      <c r="V13" s="3">
        <f>VLOOKUP(V11,Materials!$A$4:$C$16,3)</f>
        <v>345</v>
      </c>
      <c r="W13" s="3">
        <f>VLOOKUP(W11,Materials!$A$4:$C$16,3)</f>
        <v>345</v>
      </c>
      <c r="X13" s="3">
        <f>VLOOKUP(X11,Materials!$A$4:$C$16,3)</f>
        <v>275</v>
      </c>
      <c r="Y13" s="3">
        <f>VLOOKUP(Y11,Materials!$A$4:$C$16,3)</f>
        <v>275</v>
      </c>
      <c r="Z13" s="3">
        <f>VLOOKUP(Z11,Materials!$A$4:$C$16,3)</f>
        <v>275</v>
      </c>
      <c r="AA13" s="3">
        <f>VLOOKUP(AA11,Materials!$A$4:$C$16,3)</f>
        <v>275</v>
      </c>
      <c r="AB13" s="3">
        <f>VLOOKUP(AB11,Materials!$A$4:$C$16,3)</f>
        <v>275</v>
      </c>
      <c r="AC13" s="3">
        <f>VLOOKUP(AC11,Materials!$A$4:$C$16,3)</f>
        <v>275</v>
      </c>
      <c r="AD13" s="3">
        <f>VLOOKUP(AD11,Materials!$A$4:$C$16,3)</f>
        <v>275</v>
      </c>
      <c r="AE13" s="3">
        <f>VLOOKUP(AE11,Materials!$A$4:$C$16,3)</f>
        <v>275</v>
      </c>
      <c r="AF13" s="3">
        <f>VLOOKUP(AF11,Materials!$A$4:$C$16,3)</f>
        <v>275</v>
      </c>
      <c r="AG13" s="3">
        <f>VLOOKUP(AG11,Materials!$A$4:$C$16,3)</f>
        <v>275</v>
      </c>
    </row>
    <row r="14" spans="1:33" ht="12.75">
      <c r="A14" s="1" t="s">
        <v>19</v>
      </c>
      <c r="B14" s="3">
        <f>VLOOKUP(B11,Materials!$A$4:$D$16,4)</f>
        <v>2702</v>
      </c>
      <c r="C14" s="3">
        <f>VLOOKUP(C11,Materials!$A$4:$D$16,4)</f>
        <v>2702</v>
      </c>
      <c r="D14" s="17"/>
      <c r="E14" s="3">
        <f>VLOOKUP(E11,Materials!$A$4:$D$16,4)</f>
        <v>2702</v>
      </c>
      <c r="F14" s="3">
        <f>VLOOKUP(F11,Materials!$A$4:$D$16,4)</f>
        <v>2702</v>
      </c>
      <c r="G14" s="3">
        <f>VLOOKUP(G11,Materials!$A$4:$D$16,4)</f>
        <v>2702</v>
      </c>
      <c r="H14" s="17"/>
      <c r="I14" s="3">
        <f>VLOOKUP(I11,Materials!$A$4:$D$16,4)</f>
        <v>2702</v>
      </c>
      <c r="J14" s="3">
        <f>VLOOKUP(J11,Materials!$A$4:$D$16,4)</f>
        <v>2702</v>
      </c>
      <c r="K14" s="17"/>
      <c r="L14" s="3">
        <f>VLOOKUP(L11,Materials!$A$4:$D$16,4)</f>
        <v>2702</v>
      </c>
      <c r="M14" s="3">
        <f>VLOOKUP(M11,Materials!$A$4:$D$16,4)</f>
        <v>2702</v>
      </c>
      <c r="N14" s="3">
        <f>VLOOKUP(N11,Materials!$A$4:$D$16,4)</f>
        <v>2702</v>
      </c>
      <c r="O14" s="3">
        <f>VLOOKUP(O11,Materials!$A$4:$D$16,4)</f>
        <v>2702</v>
      </c>
      <c r="P14" s="3">
        <f>VLOOKUP(P11,Materials!$A$4:$D$16,4)</f>
        <v>2702</v>
      </c>
      <c r="Q14" s="3">
        <f>VLOOKUP(Q11,Materials!$A$4:$D$16,4)</f>
        <v>2702</v>
      </c>
      <c r="R14" s="3">
        <f>VLOOKUP(R11,Materials!$A$4:$D$16,4)</f>
        <v>2702</v>
      </c>
      <c r="S14" s="3">
        <f>VLOOKUP(S11,Materials!$A$4:$D$16,4)</f>
        <v>2702</v>
      </c>
      <c r="T14" s="3">
        <f>VLOOKUP(T11,Materials!$A$4:$D$16,4)</f>
        <v>2702</v>
      </c>
      <c r="U14" s="3">
        <f>VLOOKUP(U11,Materials!$A$4:$D$16,4)</f>
        <v>2702</v>
      </c>
      <c r="V14" s="3">
        <f>VLOOKUP(V11,Materials!$A$4:$D$16,4)</f>
        <v>2702</v>
      </c>
      <c r="W14" s="3">
        <f>VLOOKUP(W11,Materials!$A$4:$D$16,4)</f>
        <v>2702</v>
      </c>
      <c r="X14" s="3">
        <f>VLOOKUP(X11,Materials!$A$4:$D$16,4)</f>
        <v>2702</v>
      </c>
      <c r="Y14" s="3">
        <f>VLOOKUP(Y11,Materials!$A$4:$D$16,4)</f>
        <v>2702</v>
      </c>
      <c r="Z14" s="3">
        <f>VLOOKUP(Z11,Materials!$A$4:$D$16,4)</f>
        <v>2702</v>
      </c>
      <c r="AA14" s="3">
        <f>VLOOKUP(AA11,Materials!$A$4:$D$16,4)</f>
        <v>2702</v>
      </c>
      <c r="AB14" s="3">
        <f>VLOOKUP(AB11,Materials!$A$4:$D$16,4)</f>
        <v>2702</v>
      </c>
      <c r="AC14" s="3">
        <f>VLOOKUP(AC11,Materials!$A$4:$D$16,4)</f>
        <v>2702</v>
      </c>
      <c r="AD14" s="3">
        <f>VLOOKUP(AD11,Materials!$A$4:$D$16,4)</f>
        <v>2702</v>
      </c>
      <c r="AE14" s="3">
        <f>VLOOKUP(AE11,Materials!$A$4:$D$16,4)</f>
        <v>2702</v>
      </c>
      <c r="AF14" s="3">
        <f>VLOOKUP(AF11,Materials!$A$4:$D$16,4)</f>
        <v>2702</v>
      </c>
      <c r="AG14" s="3">
        <f>VLOOKUP(AG11,Materials!$A$4:$D$16,4)</f>
        <v>2702</v>
      </c>
    </row>
    <row r="15" spans="1:33" ht="12.75">
      <c r="A15" s="1" t="s">
        <v>57</v>
      </c>
      <c r="B15" s="9">
        <f>IF(1=B2,0.25,IF(2=B2,0.28,0))</f>
        <v>0.25</v>
      </c>
      <c r="C15" s="9">
        <f>IF(1=C2,0.25,IF(2=C2,0.28,0))</f>
        <v>0.28</v>
      </c>
      <c r="D15" s="15"/>
      <c r="E15" s="9">
        <f>IF(1=E2,0.25,IF(2=E2,0.28,0))</f>
        <v>0.25</v>
      </c>
      <c r="F15" s="9">
        <f>IF(1=F2,0.25,IF(2=F2,0.28,0))</f>
        <v>0.28</v>
      </c>
      <c r="G15" s="9">
        <f>IF(1=G2,0.25,IF(2=G2,0.28,0))</f>
        <v>0.28</v>
      </c>
      <c r="H15" s="15"/>
      <c r="I15" s="9">
        <f>IF(1=I2,0.25,IF(2=I2,0.28,0))</f>
        <v>0.25</v>
      </c>
      <c r="J15" s="9">
        <f>IF(1=J2,0.25,IF(2=J2,0.28,0))</f>
        <v>0.28</v>
      </c>
      <c r="K15" s="15"/>
      <c r="L15" s="9">
        <f aca="true" t="shared" si="9" ref="L15:AG15">IF(1=L2,0.25,IF(2=L2,0.28,0))</f>
        <v>0.25</v>
      </c>
      <c r="M15" s="9">
        <f t="shared" si="9"/>
        <v>0.28</v>
      </c>
      <c r="N15" s="9">
        <f t="shared" si="9"/>
        <v>0.28</v>
      </c>
      <c r="O15" s="9">
        <f t="shared" si="9"/>
        <v>0.28</v>
      </c>
      <c r="P15" s="9">
        <f t="shared" si="9"/>
        <v>0.28</v>
      </c>
      <c r="Q15" s="9">
        <f t="shared" si="9"/>
        <v>0.28</v>
      </c>
      <c r="R15" s="9">
        <f t="shared" si="9"/>
        <v>0.28</v>
      </c>
      <c r="S15" s="9">
        <f t="shared" si="9"/>
        <v>0.28</v>
      </c>
      <c r="T15" s="9">
        <f t="shared" si="9"/>
        <v>0.28</v>
      </c>
      <c r="U15" s="9">
        <f t="shared" si="9"/>
        <v>0.28</v>
      </c>
      <c r="V15" s="9">
        <f t="shared" si="9"/>
        <v>0.28</v>
      </c>
      <c r="W15" s="9">
        <f t="shared" si="9"/>
        <v>0.28</v>
      </c>
      <c r="X15" s="9">
        <f t="shared" si="9"/>
        <v>0.28</v>
      </c>
      <c r="Y15" s="9">
        <f t="shared" si="9"/>
        <v>0.28</v>
      </c>
      <c r="Z15" s="9">
        <f t="shared" si="9"/>
        <v>0.28</v>
      </c>
      <c r="AA15" s="9">
        <f t="shared" si="9"/>
        <v>0.28</v>
      </c>
      <c r="AB15" s="9">
        <f t="shared" si="9"/>
        <v>0.28</v>
      </c>
      <c r="AC15" s="9">
        <f t="shared" si="9"/>
        <v>0.28</v>
      </c>
      <c r="AD15" s="9">
        <f t="shared" si="9"/>
        <v>0.28</v>
      </c>
      <c r="AE15" s="9">
        <f t="shared" si="9"/>
        <v>0.28</v>
      </c>
      <c r="AF15" s="9">
        <f t="shared" si="9"/>
        <v>0.28</v>
      </c>
      <c r="AG15" s="9">
        <f t="shared" si="9"/>
        <v>0.28</v>
      </c>
    </row>
    <row r="16" spans="1:33" ht="12.75">
      <c r="A16" s="1" t="s">
        <v>58</v>
      </c>
      <c r="B16" s="9">
        <f>B15-0.01</f>
        <v>0.24</v>
      </c>
      <c r="C16" s="9">
        <f>C15-0.01</f>
        <v>0.27</v>
      </c>
      <c r="D16" s="15"/>
      <c r="E16" s="9">
        <f>E15-0.01</f>
        <v>0.24</v>
      </c>
      <c r="F16" s="9">
        <f>F15-0.01</f>
        <v>0.27</v>
      </c>
      <c r="G16" s="9">
        <f>G15-0.01</f>
        <v>0.27</v>
      </c>
      <c r="H16" s="15"/>
      <c r="I16" s="9">
        <f>I15-0.01</f>
        <v>0.24</v>
      </c>
      <c r="J16" s="9">
        <f>J15-0.01</f>
        <v>0.27</v>
      </c>
      <c r="K16" s="15"/>
      <c r="L16" s="9">
        <f aca="true" t="shared" si="10" ref="L16:AA16">L15-0.01</f>
        <v>0.24</v>
      </c>
      <c r="M16" s="9">
        <f t="shared" si="10"/>
        <v>0.27</v>
      </c>
      <c r="N16" s="9">
        <f t="shared" si="10"/>
        <v>0.27</v>
      </c>
      <c r="O16" s="9">
        <f t="shared" si="10"/>
        <v>0.27</v>
      </c>
      <c r="P16" s="9">
        <f t="shared" si="10"/>
        <v>0.27</v>
      </c>
      <c r="Q16" s="9">
        <f>Q15-0.01</f>
        <v>0.27</v>
      </c>
      <c r="R16" s="9">
        <f aca="true" t="shared" si="11" ref="R16:W16">R15-0.01</f>
        <v>0.27</v>
      </c>
      <c r="S16" s="9">
        <f t="shared" si="11"/>
        <v>0.27</v>
      </c>
      <c r="T16" s="9">
        <f t="shared" si="11"/>
        <v>0.27</v>
      </c>
      <c r="U16" s="9">
        <f t="shared" si="11"/>
        <v>0.27</v>
      </c>
      <c r="V16" s="9">
        <f t="shared" si="11"/>
        <v>0.27</v>
      </c>
      <c r="W16" s="9">
        <f t="shared" si="11"/>
        <v>0.27</v>
      </c>
      <c r="X16" s="9">
        <f t="shared" si="10"/>
        <v>0.27</v>
      </c>
      <c r="Y16" s="9">
        <f t="shared" si="10"/>
        <v>0.27</v>
      </c>
      <c r="Z16" s="9">
        <f t="shared" si="10"/>
        <v>0.27</v>
      </c>
      <c r="AA16" s="9">
        <f t="shared" si="10"/>
        <v>0.27</v>
      </c>
      <c r="AB16" s="9">
        <f aca="true" t="shared" si="12" ref="AB16:AG16">AB15-0.01</f>
        <v>0.27</v>
      </c>
      <c r="AC16" s="9">
        <f t="shared" si="12"/>
        <v>0.27</v>
      </c>
      <c r="AD16" s="9">
        <f t="shared" si="12"/>
        <v>0.27</v>
      </c>
      <c r="AE16" s="9">
        <f t="shared" si="12"/>
        <v>0.27</v>
      </c>
      <c r="AF16" s="9">
        <f t="shared" si="12"/>
        <v>0.27</v>
      </c>
      <c r="AG16" s="9">
        <f t="shared" si="12"/>
        <v>0.27</v>
      </c>
    </row>
    <row r="17" spans="1:33" ht="12.75">
      <c r="A17" s="1" t="s">
        <v>9</v>
      </c>
      <c r="B17" s="8">
        <f>(B4+B5)*0.454</f>
        <v>102.15</v>
      </c>
      <c r="C17" s="8">
        <f>(C4+C5)*0.454</f>
        <v>102.15</v>
      </c>
      <c r="D17" s="15"/>
      <c r="E17" s="8">
        <f>(E4+E5)*0.454</f>
        <v>102.15</v>
      </c>
      <c r="F17" s="8">
        <f>(F4+F5)*0.454</f>
        <v>102.15</v>
      </c>
      <c r="G17" s="8">
        <f>(G4+G5)*0.454</f>
        <v>102.15</v>
      </c>
      <c r="H17" s="15"/>
      <c r="I17" s="8">
        <f>(I4+I5)*0.454</f>
        <v>102.15</v>
      </c>
      <c r="J17" s="8">
        <f>(J4+J5)*0.454</f>
        <v>102.15</v>
      </c>
      <c r="K17" s="15"/>
      <c r="L17" s="8">
        <f aca="true" t="shared" si="13" ref="L17:AG17">(L4+L5)*0.454</f>
        <v>102.15</v>
      </c>
      <c r="M17" s="8">
        <f t="shared" si="13"/>
        <v>102.15</v>
      </c>
      <c r="N17" s="8">
        <f t="shared" si="13"/>
        <v>102.15</v>
      </c>
      <c r="O17" s="8">
        <f t="shared" si="13"/>
        <v>102.15</v>
      </c>
      <c r="P17" s="8">
        <f t="shared" si="13"/>
        <v>102.15</v>
      </c>
      <c r="Q17" s="8">
        <f t="shared" si="13"/>
        <v>102.15</v>
      </c>
      <c r="R17" s="8">
        <f t="shared" si="13"/>
        <v>102.15</v>
      </c>
      <c r="S17" s="8">
        <f t="shared" si="13"/>
        <v>102.15</v>
      </c>
      <c r="T17" s="8">
        <f t="shared" si="13"/>
        <v>102.15</v>
      </c>
      <c r="U17" s="8">
        <f t="shared" si="13"/>
        <v>102.15</v>
      </c>
      <c r="V17" s="8">
        <f t="shared" si="13"/>
        <v>102.15</v>
      </c>
      <c r="W17" s="8">
        <f t="shared" si="13"/>
        <v>102.15</v>
      </c>
      <c r="X17" s="8">
        <f t="shared" si="13"/>
        <v>102.15</v>
      </c>
      <c r="Y17" s="8">
        <f t="shared" si="13"/>
        <v>102.15</v>
      </c>
      <c r="Z17" s="8">
        <f t="shared" si="13"/>
        <v>102.15</v>
      </c>
      <c r="AA17" s="8">
        <f t="shared" si="13"/>
        <v>102.15</v>
      </c>
      <c r="AB17" s="8">
        <f t="shared" si="13"/>
        <v>102.15</v>
      </c>
      <c r="AC17" s="8">
        <f t="shared" si="13"/>
        <v>102.15</v>
      </c>
      <c r="AD17" s="8">
        <f t="shared" si="13"/>
        <v>102.15</v>
      </c>
      <c r="AE17" s="8">
        <f t="shared" si="13"/>
        <v>102.15</v>
      </c>
      <c r="AF17" s="8">
        <f t="shared" si="13"/>
        <v>102.15</v>
      </c>
      <c r="AG17" s="8">
        <f t="shared" si="13"/>
        <v>102.15</v>
      </c>
    </row>
    <row r="18" spans="1:33" ht="12.75">
      <c r="A18" s="1" t="s">
        <v>10</v>
      </c>
      <c r="B18" s="8">
        <f>B17*9.806</f>
        <v>1001.6829</v>
      </c>
      <c r="C18" s="8">
        <f>C17*9.806</f>
        <v>1001.6829</v>
      </c>
      <c r="D18" s="15"/>
      <c r="E18" s="8">
        <f>E17*9.806</f>
        <v>1001.6829</v>
      </c>
      <c r="F18" s="8">
        <f>F17*9.806</f>
        <v>1001.6829</v>
      </c>
      <c r="G18" s="8">
        <f>G17*9.806</f>
        <v>1001.6829</v>
      </c>
      <c r="H18" s="15"/>
      <c r="I18" s="8">
        <f>I17*9.806</f>
        <v>1001.6829</v>
      </c>
      <c r="J18" s="8">
        <f>J17*9.806</f>
        <v>1001.6829</v>
      </c>
      <c r="K18" s="15"/>
      <c r="L18" s="8">
        <f aca="true" t="shared" si="14" ref="L18:AA18">L17*9.806</f>
        <v>1001.6829</v>
      </c>
      <c r="M18" s="8">
        <f t="shared" si="14"/>
        <v>1001.6829</v>
      </c>
      <c r="N18" s="8">
        <f t="shared" si="14"/>
        <v>1001.6829</v>
      </c>
      <c r="O18" s="8">
        <f t="shared" si="14"/>
        <v>1001.6829</v>
      </c>
      <c r="P18" s="8">
        <f t="shared" si="14"/>
        <v>1001.6829</v>
      </c>
      <c r="Q18" s="8">
        <f>Q17*9.806</f>
        <v>1001.6829</v>
      </c>
      <c r="R18" s="8">
        <f aca="true" t="shared" si="15" ref="R18:W18">R17*9.806</f>
        <v>1001.6829</v>
      </c>
      <c r="S18" s="8">
        <f t="shared" si="15"/>
        <v>1001.6829</v>
      </c>
      <c r="T18" s="8">
        <f t="shared" si="15"/>
        <v>1001.6829</v>
      </c>
      <c r="U18" s="8">
        <f t="shared" si="15"/>
        <v>1001.6829</v>
      </c>
      <c r="V18" s="8">
        <f t="shared" si="15"/>
        <v>1001.6829</v>
      </c>
      <c r="W18" s="8">
        <f t="shared" si="15"/>
        <v>1001.6829</v>
      </c>
      <c r="X18" s="8">
        <f t="shared" si="14"/>
        <v>1001.6829</v>
      </c>
      <c r="Y18" s="8">
        <f t="shared" si="14"/>
        <v>1001.6829</v>
      </c>
      <c r="Z18" s="8">
        <f t="shared" si="14"/>
        <v>1001.6829</v>
      </c>
      <c r="AA18" s="8">
        <f t="shared" si="14"/>
        <v>1001.6829</v>
      </c>
      <c r="AB18" s="8">
        <f aca="true" t="shared" si="16" ref="AB18:AG18">AB17*9.806</f>
        <v>1001.6829</v>
      </c>
      <c r="AC18" s="8">
        <f t="shared" si="16"/>
        <v>1001.6829</v>
      </c>
      <c r="AD18" s="8">
        <f t="shared" si="16"/>
        <v>1001.6829</v>
      </c>
      <c r="AE18" s="8">
        <f t="shared" si="16"/>
        <v>1001.6829</v>
      </c>
      <c r="AF18" s="8">
        <f t="shared" si="16"/>
        <v>1001.6829</v>
      </c>
      <c r="AG18" s="8">
        <f t="shared" si="16"/>
        <v>1001.6829</v>
      </c>
    </row>
    <row r="19" spans="1:33" ht="12.75">
      <c r="A19" s="1" t="s">
        <v>12</v>
      </c>
      <c r="B19" s="8">
        <f>B18*B7*B8/B6/2</f>
        <v>128.5493055</v>
      </c>
      <c r="C19" s="8">
        <f>C18*C7*C8/C6/2</f>
        <v>146.91349200000005</v>
      </c>
      <c r="D19" s="15"/>
      <c r="E19" s="8">
        <f>E18*E7*E8/E6/2</f>
        <v>128.5493055</v>
      </c>
      <c r="F19" s="8">
        <f>F18*F7*F8/F6/2</f>
        <v>146.91349200000005</v>
      </c>
      <c r="G19" s="8">
        <f>G18*G7*G8/G6/2</f>
        <v>146.91349200000005</v>
      </c>
      <c r="H19" s="15"/>
      <c r="I19" s="8">
        <f>I18*I7*I8/I6/2</f>
        <v>128.5493055</v>
      </c>
      <c r="J19" s="8">
        <f>J18*J7*J8/J6/2</f>
        <v>146.91349200000005</v>
      </c>
      <c r="K19" s="15"/>
      <c r="L19" s="8">
        <f aca="true" t="shared" si="17" ref="L19:AA19">L18*L7*L8/L6/2</f>
        <v>128.5493055</v>
      </c>
      <c r="M19" s="8">
        <f t="shared" si="17"/>
        <v>146.91349200000005</v>
      </c>
      <c r="N19" s="8">
        <f t="shared" si="17"/>
        <v>146.91349200000005</v>
      </c>
      <c r="O19" s="8">
        <f t="shared" si="17"/>
        <v>146.91349200000005</v>
      </c>
      <c r="P19" s="8">
        <f t="shared" si="17"/>
        <v>146.91349200000005</v>
      </c>
      <c r="Q19" s="8">
        <f>Q18*Q7*Q8/Q6/2</f>
        <v>146.91349200000005</v>
      </c>
      <c r="R19" s="8">
        <f aca="true" t="shared" si="18" ref="R19:W19">R18*R7*R8/R6/2</f>
        <v>146.91349200000005</v>
      </c>
      <c r="S19" s="8">
        <f t="shared" si="18"/>
        <v>146.91349200000005</v>
      </c>
      <c r="T19" s="8">
        <f t="shared" si="18"/>
        <v>146.91349200000005</v>
      </c>
      <c r="U19" s="8">
        <f t="shared" si="18"/>
        <v>146.91349200000005</v>
      </c>
      <c r="V19" s="8">
        <f t="shared" si="18"/>
        <v>146.91349200000005</v>
      </c>
      <c r="W19" s="8">
        <f t="shared" si="18"/>
        <v>146.91349200000005</v>
      </c>
      <c r="X19" s="8">
        <f t="shared" si="17"/>
        <v>146.91349200000005</v>
      </c>
      <c r="Y19" s="8">
        <f t="shared" si="17"/>
        <v>146.91349200000005</v>
      </c>
      <c r="Z19" s="8">
        <f t="shared" si="17"/>
        <v>146.91349200000005</v>
      </c>
      <c r="AA19" s="8">
        <f t="shared" si="17"/>
        <v>146.91349200000005</v>
      </c>
      <c r="AB19" s="8">
        <f aca="true" t="shared" si="19" ref="AB19:AG19">AB18*AB7*AB8/AB6/2</f>
        <v>146.91349200000005</v>
      </c>
      <c r="AC19" s="8">
        <f t="shared" si="19"/>
        <v>146.91349200000005</v>
      </c>
      <c r="AD19" s="8">
        <f t="shared" si="19"/>
        <v>146.91349200000005</v>
      </c>
      <c r="AE19" s="8">
        <f t="shared" si="19"/>
        <v>146.91349200000005</v>
      </c>
      <c r="AF19" s="8">
        <f t="shared" si="19"/>
        <v>146.91349200000005</v>
      </c>
      <c r="AG19" s="8">
        <f t="shared" si="19"/>
        <v>146.91349200000005</v>
      </c>
    </row>
    <row r="20" spans="1:33" ht="12.75">
      <c r="A20" s="1" t="s">
        <v>41</v>
      </c>
      <c r="B20" s="8">
        <f>(B19/9.806)/0.454</f>
        <v>28.875</v>
      </c>
      <c r="C20" s="8">
        <f>(C19/9.806)/0.454</f>
        <v>33.000000000000014</v>
      </c>
      <c r="D20" s="15"/>
      <c r="E20" s="8">
        <f>(E19/9.806)/0.454</f>
        <v>28.875</v>
      </c>
      <c r="F20" s="8">
        <f>(F19/9.806)/0.454</f>
        <v>33.000000000000014</v>
      </c>
      <c r="G20" s="8">
        <f>(G19/9.806)/0.454</f>
        <v>33.000000000000014</v>
      </c>
      <c r="H20" s="15"/>
      <c r="I20" s="8">
        <f>(I19/9.806)/0.454</f>
        <v>28.875</v>
      </c>
      <c r="J20" s="8">
        <f>(J19/9.806)/0.454</f>
        <v>33.000000000000014</v>
      </c>
      <c r="K20" s="15"/>
      <c r="L20" s="8">
        <f aca="true" t="shared" si="20" ref="L20:AA20">(L19/9.806)/0.454</f>
        <v>28.875</v>
      </c>
      <c r="M20" s="8">
        <f t="shared" si="20"/>
        <v>33.000000000000014</v>
      </c>
      <c r="N20" s="8">
        <f t="shared" si="20"/>
        <v>33.000000000000014</v>
      </c>
      <c r="O20" s="8">
        <f t="shared" si="20"/>
        <v>33.000000000000014</v>
      </c>
      <c r="P20" s="8">
        <f t="shared" si="20"/>
        <v>33.000000000000014</v>
      </c>
      <c r="Q20" s="8">
        <f>(Q19/9.806)/0.454</f>
        <v>33.000000000000014</v>
      </c>
      <c r="R20" s="8">
        <f aca="true" t="shared" si="21" ref="R20:W20">(R19/9.806)/0.454</f>
        <v>33.000000000000014</v>
      </c>
      <c r="S20" s="8">
        <f t="shared" si="21"/>
        <v>33.000000000000014</v>
      </c>
      <c r="T20" s="8">
        <f t="shared" si="21"/>
        <v>33.000000000000014</v>
      </c>
      <c r="U20" s="8">
        <f t="shared" si="21"/>
        <v>33.000000000000014</v>
      </c>
      <c r="V20" s="8">
        <f t="shared" si="21"/>
        <v>33.000000000000014</v>
      </c>
      <c r="W20" s="8">
        <f t="shared" si="21"/>
        <v>33.000000000000014</v>
      </c>
      <c r="X20" s="8">
        <f t="shared" si="20"/>
        <v>33.000000000000014</v>
      </c>
      <c r="Y20" s="8">
        <f t="shared" si="20"/>
        <v>33.000000000000014</v>
      </c>
      <c r="Z20" s="8">
        <f t="shared" si="20"/>
        <v>33.000000000000014</v>
      </c>
      <c r="AA20" s="8">
        <f t="shared" si="20"/>
        <v>33.000000000000014</v>
      </c>
      <c r="AB20" s="8">
        <f aca="true" t="shared" si="22" ref="AB20:AG20">(AB19/9.806)/0.454</f>
        <v>33.000000000000014</v>
      </c>
      <c r="AC20" s="8">
        <f t="shared" si="22"/>
        <v>33.000000000000014</v>
      </c>
      <c r="AD20" s="8">
        <f t="shared" si="22"/>
        <v>33.000000000000014</v>
      </c>
      <c r="AE20" s="8">
        <f t="shared" si="22"/>
        <v>33.000000000000014</v>
      </c>
      <c r="AF20" s="8">
        <f t="shared" si="22"/>
        <v>33.000000000000014</v>
      </c>
      <c r="AG20" s="8">
        <f t="shared" si="22"/>
        <v>33.000000000000014</v>
      </c>
    </row>
    <row r="21" spans="1:33" ht="12.75">
      <c r="A21" s="1" t="s">
        <v>13</v>
      </c>
      <c r="B21" s="9">
        <f>B16/2</f>
        <v>0.12</v>
      </c>
      <c r="C21" s="9">
        <f>C16/2</f>
        <v>0.135</v>
      </c>
      <c r="D21" s="15"/>
      <c r="E21" s="9">
        <f>E16/2</f>
        <v>0.12</v>
      </c>
      <c r="F21" s="9">
        <f>F16/2</f>
        <v>0.135</v>
      </c>
      <c r="G21" s="9">
        <f>G16/2</f>
        <v>0.135</v>
      </c>
      <c r="H21" s="15"/>
      <c r="I21" s="9">
        <f>I16/2</f>
        <v>0.12</v>
      </c>
      <c r="J21" s="9">
        <f>J16/2</f>
        <v>0.135</v>
      </c>
      <c r="K21" s="15"/>
      <c r="L21" s="9">
        <f aca="true" t="shared" si="23" ref="L21:AG21">L16/2</f>
        <v>0.12</v>
      </c>
      <c r="M21" s="9">
        <f t="shared" si="23"/>
        <v>0.135</v>
      </c>
      <c r="N21" s="9">
        <f t="shared" si="23"/>
        <v>0.135</v>
      </c>
      <c r="O21" s="9">
        <f t="shared" si="23"/>
        <v>0.135</v>
      </c>
      <c r="P21" s="9">
        <f t="shared" si="23"/>
        <v>0.135</v>
      </c>
      <c r="Q21" s="9">
        <f t="shared" si="23"/>
        <v>0.135</v>
      </c>
      <c r="R21" s="9">
        <f t="shared" si="23"/>
        <v>0.135</v>
      </c>
      <c r="S21" s="9">
        <f t="shared" si="23"/>
        <v>0.135</v>
      </c>
      <c r="T21" s="9">
        <f t="shared" si="23"/>
        <v>0.135</v>
      </c>
      <c r="U21" s="9">
        <f t="shared" si="23"/>
        <v>0.135</v>
      </c>
      <c r="V21" s="9">
        <f t="shared" si="23"/>
        <v>0.135</v>
      </c>
      <c r="W21" s="9">
        <f t="shared" si="23"/>
        <v>0.135</v>
      </c>
      <c r="X21" s="9">
        <f t="shared" si="23"/>
        <v>0.135</v>
      </c>
      <c r="Y21" s="9">
        <f t="shared" si="23"/>
        <v>0.135</v>
      </c>
      <c r="Z21" s="9">
        <f t="shared" si="23"/>
        <v>0.135</v>
      </c>
      <c r="AA21" s="9">
        <f t="shared" si="23"/>
        <v>0.135</v>
      </c>
      <c r="AB21" s="9">
        <f t="shared" si="23"/>
        <v>0.135</v>
      </c>
      <c r="AC21" s="9">
        <f t="shared" si="23"/>
        <v>0.135</v>
      </c>
      <c r="AD21" s="9">
        <f t="shared" si="23"/>
        <v>0.135</v>
      </c>
      <c r="AE21" s="9">
        <f t="shared" si="23"/>
        <v>0.135</v>
      </c>
      <c r="AF21" s="9">
        <f t="shared" si="23"/>
        <v>0.135</v>
      </c>
      <c r="AG21" s="9">
        <f t="shared" si="23"/>
        <v>0.135</v>
      </c>
    </row>
    <row r="22" spans="1:33" ht="12.75">
      <c r="A22" s="1" t="s">
        <v>16</v>
      </c>
      <c r="B22" s="10">
        <f>B9*0.0254/2</f>
        <v>0.0079375</v>
      </c>
      <c r="C22" s="10">
        <f>C9*0.0254/2</f>
        <v>0.0127</v>
      </c>
      <c r="D22" s="15"/>
      <c r="E22" s="10">
        <f>E9*0.0254/2</f>
        <v>0.0079375</v>
      </c>
      <c r="F22" s="10">
        <f>F9*0.0254/2</f>
        <v>0.011112499999999999</v>
      </c>
      <c r="G22" s="10">
        <f>G9*0.0254/2</f>
        <v>0.009524999999999999</v>
      </c>
      <c r="H22" s="15"/>
      <c r="I22" s="10">
        <f>I9*0.0254/2</f>
        <v>0.00635</v>
      </c>
      <c r="J22" s="10">
        <f>J9*0.0254/2</f>
        <v>0.009524999999999999</v>
      </c>
      <c r="K22" s="15"/>
      <c r="L22" s="10">
        <f aca="true" t="shared" si="24" ref="L22:AG22">L9*0.0254/2</f>
        <v>0.00635</v>
      </c>
      <c r="M22" s="10">
        <f t="shared" si="24"/>
        <v>0.0079375</v>
      </c>
      <c r="N22" s="10">
        <f t="shared" si="24"/>
        <v>0.009524999999999999</v>
      </c>
      <c r="O22" s="10">
        <f t="shared" si="24"/>
        <v>0.009524999999999999</v>
      </c>
      <c r="P22" s="10">
        <f t="shared" si="24"/>
        <v>0.009524999999999999</v>
      </c>
      <c r="Q22" s="10">
        <f t="shared" si="24"/>
        <v>0.011112499999999999</v>
      </c>
      <c r="R22" s="10">
        <f t="shared" si="24"/>
        <v>0.011112499999999999</v>
      </c>
      <c r="S22" s="10">
        <f t="shared" si="24"/>
        <v>0.011112499999999999</v>
      </c>
      <c r="T22" s="10">
        <f t="shared" si="24"/>
        <v>0.011112499999999999</v>
      </c>
      <c r="U22" s="10">
        <f t="shared" si="24"/>
        <v>0.0127</v>
      </c>
      <c r="V22" s="10">
        <f t="shared" si="24"/>
        <v>0.0127</v>
      </c>
      <c r="W22" s="10">
        <f t="shared" si="24"/>
        <v>0.0127</v>
      </c>
      <c r="X22" s="10">
        <f t="shared" si="24"/>
        <v>0.0079375</v>
      </c>
      <c r="Y22" s="10">
        <f t="shared" si="24"/>
        <v>0.009524999999999999</v>
      </c>
      <c r="Z22" s="10">
        <f t="shared" si="24"/>
        <v>0.009524999999999999</v>
      </c>
      <c r="AA22" s="10">
        <f t="shared" si="24"/>
        <v>0.009524999999999999</v>
      </c>
      <c r="AB22" s="10">
        <f t="shared" si="24"/>
        <v>0.011112499999999999</v>
      </c>
      <c r="AC22" s="10">
        <f t="shared" si="24"/>
        <v>0.011112499999999999</v>
      </c>
      <c r="AD22" s="10">
        <f t="shared" si="24"/>
        <v>0.011112499999999999</v>
      </c>
      <c r="AE22" s="10">
        <f t="shared" si="24"/>
        <v>0.011112499999999999</v>
      </c>
      <c r="AF22" s="10">
        <f t="shared" si="24"/>
        <v>0.0127</v>
      </c>
      <c r="AG22" s="10">
        <f t="shared" si="24"/>
        <v>0.0127</v>
      </c>
    </row>
    <row r="23" spans="1:33" ht="12.75">
      <c r="A23" s="1" t="s">
        <v>17</v>
      </c>
      <c r="B23" s="10">
        <f>B22-B10*0.0254</f>
        <v>0.0055753</v>
      </c>
      <c r="C23" s="10">
        <f>C22-C10*0.0254</f>
        <v>0.011176</v>
      </c>
      <c r="D23" s="15"/>
      <c r="E23" s="10">
        <f>E22-E10*0.0254</f>
        <v>0.0064643</v>
      </c>
      <c r="F23" s="10">
        <f>F22-F10*0.0254</f>
        <v>0.0096393</v>
      </c>
      <c r="G23" s="10">
        <f>G22-G10*0.0254</f>
        <v>0.007937499999999998</v>
      </c>
      <c r="H23" s="15"/>
      <c r="I23" s="10">
        <f>I22-I10*0.0254</f>
        <v>0.005461</v>
      </c>
      <c r="J23" s="10">
        <f>J22-J10*0.0254</f>
        <v>0.008635999999999998</v>
      </c>
      <c r="K23" s="15"/>
      <c r="L23" s="10">
        <f aca="true" t="shared" si="25" ref="L23:AA23">L22-L10*0.0254</f>
        <v>0.004699</v>
      </c>
      <c r="M23" s="10">
        <f t="shared" si="25"/>
        <v>0.0064643</v>
      </c>
      <c r="N23" s="10">
        <f t="shared" si="25"/>
        <v>0.008635999999999998</v>
      </c>
      <c r="O23" s="10">
        <f t="shared" si="25"/>
        <v>0.008280399999999999</v>
      </c>
      <c r="P23" s="10">
        <f t="shared" si="25"/>
        <v>0.007873999999999999</v>
      </c>
      <c r="Q23" s="10">
        <f>Q22-Q10*0.0254</f>
        <v>0.0102235</v>
      </c>
      <c r="R23" s="10">
        <f aca="true" t="shared" si="26" ref="R23:W23">R22-R10*0.0254</f>
        <v>0.009867899999999999</v>
      </c>
      <c r="S23" s="10">
        <f t="shared" si="26"/>
        <v>0.0096393</v>
      </c>
      <c r="T23" s="10">
        <f t="shared" si="26"/>
        <v>0.0094615</v>
      </c>
      <c r="U23" s="10">
        <f t="shared" si="26"/>
        <v>0.011810999999999999</v>
      </c>
      <c r="V23" s="10">
        <f t="shared" si="26"/>
        <v>0.0114554</v>
      </c>
      <c r="W23" s="10">
        <f t="shared" si="26"/>
        <v>0.011226799999999999</v>
      </c>
      <c r="X23" s="10">
        <f t="shared" si="25"/>
        <v>0.0062865</v>
      </c>
      <c r="Y23" s="10">
        <f t="shared" si="25"/>
        <v>0.008280399999999999</v>
      </c>
      <c r="Z23" s="10">
        <f t="shared" si="25"/>
        <v>0.008051799999999998</v>
      </c>
      <c r="AA23" s="10">
        <f t="shared" si="25"/>
        <v>0.007873999999999999</v>
      </c>
      <c r="AB23" s="10">
        <f aca="true" t="shared" si="27" ref="AB23:AG23">AB22-AB10*0.0254</f>
        <v>0.0102235</v>
      </c>
      <c r="AC23" s="10">
        <f t="shared" si="27"/>
        <v>0.009867899999999999</v>
      </c>
      <c r="AD23" s="10">
        <f t="shared" si="27"/>
        <v>0.0096393</v>
      </c>
      <c r="AE23" s="10">
        <f t="shared" si="27"/>
        <v>0.0094615</v>
      </c>
      <c r="AF23" s="10">
        <f t="shared" si="27"/>
        <v>0.011810999999999999</v>
      </c>
      <c r="AG23" s="10">
        <f t="shared" si="27"/>
        <v>0.0114554</v>
      </c>
    </row>
    <row r="24" spans="1:33" ht="12.75">
      <c r="A24" s="1" t="s">
        <v>94</v>
      </c>
      <c r="B24" s="9">
        <f>B23*2/0.0254</f>
        <v>0.439</v>
      </c>
      <c r="C24" s="9">
        <f>C23*2/0.0254</f>
        <v>0.88</v>
      </c>
      <c r="D24" s="15"/>
      <c r="E24" s="9">
        <f>E23*2/0.0254</f>
        <v>0.509</v>
      </c>
      <c r="F24" s="9">
        <f>F23*2/0.0254</f>
        <v>0.759</v>
      </c>
      <c r="G24" s="9">
        <f>G23*2/0.0254</f>
        <v>0.6249999999999999</v>
      </c>
      <c r="H24" s="15"/>
      <c r="I24" s="9">
        <f>I23*2/0.0254</f>
        <v>0.43</v>
      </c>
      <c r="J24" s="9">
        <f>J23*2/0.0254</f>
        <v>0.6799999999999998</v>
      </c>
      <c r="K24" s="15"/>
      <c r="L24" s="9">
        <f aca="true" t="shared" si="28" ref="L24:AG24">L23*2/0.0254</f>
        <v>0.37</v>
      </c>
      <c r="M24" s="9">
        <f t="shared" si="28"/>
        <v>0.509</v>
      </c>
      <c r="N24" s="9">
        <f t="shared" si="28"/>
        <v>0.6799999999999998</v>
      </c>
      <c r="O24" s="9">
        <f t="shared" si="28"/>
        <v>0.6519999999999999</v>
      </c>
      <c r="P24" s="9">
        <f t="shared" si="28"/>
        <v>0.62</v>
      </c>
      <c r="Q24" s="9">
        <f t="shared" si="28"/>
        <v>0.805</v>
      </c>
      <c r="R24" s="9">
        <f t="shared" si="28"/>
        <v>0.7769999999999999</v>
      </c>
      <c r="S24" s="9">
        <f t="shared" si="28"/>
        <v>0.759</v>
      </c>
      <c r="T24" s="9">
        <f t="shared" si="28"/>
        <v>0.745</v>
      </c>
      <c r="U24" s="9">
        <f t="shared" si="28"/>
        <v>0.9299999999999999</v>
      </c>
      <c r="V24" s="9">
        <f t="shared" si="28"/>
        <v>0.902</v>
      </c>
      <c r="W24" s="9">
        <f t="shared" si="28"/>
        <v>0.8839999999999999</v>
      </c>
      <c r="X24" s="9">
        <f t="shared" si="28"/>
        <v>0.49500000000000005</v>
      </c>
      <c r="Y24" s="9">
        <f t="shared" si="28"/>
        <v>0.6519999999999999</v>
      </c>
      <c r="Z24" s="9">
        <f t="shared" si="28"/>
        <v>0.6339999999999999</v>
      </c>
      <c r="AA24" s="9">
        <f t="shared" si="28"/>
        <v>0.62</v>
      </c>
      <c r="AB24" s="9">
        <f t="shared" si="28"/>
        <v>0.805</v>
      </c>
      <c r="AC24" s="9">
        <f t="shared" si="28"/>
        <v>0.7769999999999999</v>
      </c>
      <c r="AD24" s="9">
        <f t="shared" si="28"/>
        <v>0.759</v>
      </c>
      <c r="AE24" s="9">
        <f t="shared" si="28"/>
        <v>0.745</v>
      </c>
      <c r="AF24" s="9">
        <f t="shared" si="28"/>
        <v>0.9299999999999999</v>
      </c>
      <c r="AG24" s="9">
        <f t="shared" si="28"/>
        <v>0.902</v>
      </c>
    </row>
    <row r="25" spans="1:33" ht="12.75">
      <c r="A25" s="1" t="s">
        <v>18</v>
      </c>
      <c r="B25" s="10">
        <f>PI()*(POWER(B22,2)-POWER(B23,2))</f>
        <v>0.0001002794369433112</v>
      </c>
      <c r="C25" s="10">
        <f>PI()*(POWER(C22,2)-POWER(C23,2))</f>
        <v>0.00011431320728439545</v>
      </c>
      <c r="D25" s="15"/>
      <c r="E25" s="10">
        <f>PI()*(POWER(E22,2)-POWER(E23,2))</f>
        <v>6.665432863040124E-05</v>
      </c>
      <c r="F25" s="10">
        <f>PI()*(POWER(F22,2)-POWER(F23,2))</f>
        <v>9.604336241805606E-05</v>
      </c>
      <c r="G25" s="10">
        <f>PI()*(POWER(G22,2)-POWER(G23,2))</f>
        <v>8.709034796988244E-05</v>
      </c>
      <c r="H25" s="15"/>
      <c r="I25" s="10">
        <f>PI()*(POWER(I22,2)-POWER(I23,2))</f>
        <v>3.298665688924711E-05</v>
      </c>
      <c r="J25" s="10">
        <f>PI()*(POWER(J22,2)-POWER(J23,2))</f>
        <v>5.072141865765957E-05</v>
      </c>
      <c r="K25" s="15"/>
      <c r="L25" s="10">
        <f aca="true" t="shared" si="29" ref="L25:AA25">PI()*(POWER(L22,2)-POWER(L23,2))</f>
        <v>5.730861588592699E-05</v>
      </c>
      <c r="M25" s="10">
        <f t="shared" si="29"/>
        <v>6.665432863040124E-05</v>
      </c>
      <c r="N25" s="10">
        <f t="shared" si="29"/>
        <v>5.072141865765957E-05</v>
      </c>
      <c r="O25" s="10">
        <f t="shared" si="29"/>
        <v>6.961958079807981E-05</v>
      </c>
      <c r="P25" s="10">
        <f t="shared" si="29"/>
        <v>9.024460202726433E-05</v>
      </c>
      <c r="Q25" s="10">
        <f>PI()*(POWER(Q22,2)-POWER(Q23,2))</f>
        <v>5.95887995418657E-05</v>
      </c>
      <c r="R25" s="10">
        <f aca="true" t="shared" si="30" ref="R25:W25">PI()*(POWER(R22,2)-POWER(R23,2))</f>
        <v>8.20339140359685E-05</v>
      </c>
      <c r="S25" s="10">
        <f t="shared" si="30"/>
        <v>9.604336241805606E-05</v>
      </c>
      <c r="T25" s="10">
        <f t="shared" si="30"/>
        <v>0.00010671259509793301</v>
      </c>
      <c r="U25" s="10">
        <f t="shared" si="30"/>
        <v>6.8456180426072E-05</v>
      </c>
      <c r="V25" s="10">
        <f t="shared" si="30"/>
        <v>9.44482472738572E-05</v>
      </c>
      <c r="W25" s="10">
        <f t="shared" si="30"/>
        <v>0.00011073787931188361</v>
      </c>
      <c r="X25" s="10">
        <f t="shared" si="29"/>
        <v>7.377660895659567E-05</v>
      </c>
      <c r="Y25" s="10">
        <f t="shared" si="29"/>
        <v>6.961958079807981E-05</v>
      </c>
      <c r="Z25" s="10">
        <f t="shared" si="29"/>
        <v>8.134884552422871E-05</v>
      </c>
      <c r="AA25" s="10">
        <f t="shared" si="29"/>
        <v>9.024460202726433E-05</v>
      </c>
      <c r="AB25" s="10">
        <f aca="true" t="shared" si="31" ref="AB25:AG25">PI()*(POWER(AB22,2)-POWER(AB23,2))</f>
        <v>5.95887995418657E-05</v>
      </c>
      <c r="AC25" s="10">
        <f t="shared" si="31"/>
        <v>8.20339140359685E-05</v>
      </c>
      <c r="AD25" s="10">
        <f t="shared" si="31"/>
        <v>9.604336241805606E-05</v>
      </c>
      <c r="AE25" s="10">
        <f t="shared" si="31"/>
        <v>0.00010671259509793301</v>
      </c>
      <c r="AF25" s="10">
        <f t="shared" si="31"/>
        <v>6.8456180426072E-05</v>
      </c>
      <c r="AG25" s="10">
        <f t="shared" si="31"/>
        <v>9.44482472738572E-05</v>
      </c>
    </row>
    <row r="26" spans="1:33" ht="12.75">
      <c r="A26" s="1" t="s">
        <v>20</v>
      </c>
      <c r="B26" s="9">
        <f>B14*B25</f>
        <v>0.27095503862082687</v>
      </c>
      <c r="C26" s="9">
        <f>C14*C25</f>
        <v>0.3088742860824365</v>
      </c>
      <c r="D26" s="15"/>
      <c r="E26" s="9">
        <f>E14*E25</f>
        <v>0.18009999595934414</v>
      </c>
      <c r="F26" s="9">
        <f>F14*F25</f>
        <v>0.25950916525358747</v>
      </c>
      <c r="G26" s="9">
        <f>G14*G25</f>
        <v>0.23531812021462234</v>
      </c>
      <c r="H26" s="15"/>
      <c r="I26" s="9">
        <f>I14*I25</f>
        <v>0.0891299469147457</v>
      </c>
      <c r="J26" s="9">
        <f>J14*J25</f>
        <v>0.13704927321299615</v>
      </c>
      <c r="K26" s="15"/>
      <c r="L26" s="9">
        <f aca="true" t="shared" si="32" ref="L26:AA26">L14*L25</f>
        <v>0.15484788012377473</v>
      </c>
      <c r="M26" s="9">
        <f t="shared" si="32"/>
        <v>0.18009999595934414</v>
      </c>
      <c r="N26" s="9">
        <f t="shared" si="32"/>
        <v>0.13704927321299615</v>
      </c>
      <c r="O26" s="9">
        <f t="shared" si="32"/>
        <v>0.18811210731641165</v>
      </c>
      <c r="P26" s="9">
        <f t="shared" si="32"/>
        <v>0.24384091467766822</v>
      </c>
      <c r="Q26" s="9">
        <f>Q14*Q25</f>
        <v>0.1610089363621211</v>
      </c>
      <c r="R26" s="9">
        <f aca="true" t="shared" si="33" ref="R26:W26">R14*R25</f>
        <v>0.2216556357251869</v>
      </c>
      <c r="S26" s="9">
        <f t="shared" si="33"/>
        <v>0.25950916525358747</v>
      </c>
      <c r="T26" s="9">
        <f t="shared" si="33"/>
        <v>0.288337431954615</v>
      </c>
      <c r="U26" s="9">
        <f t="shared" si="33"/>
        <v>0.18496859951124656</v>
      </c>
      <c r="V26" s="9">
        <f t="shared" si="33"/>
        <v>0.25519916413396215</v>
      </c>
      <c r="W26" s="9">
        <f t="shared" si="33"/>
        <v>0.2992137499007095</v>
      </c>
      <c r="X26" s="9">
        <f t="shared" si="32"/>
        <v>0.19934439740072152</v>
      </c>
      <c r="Y26" s="9">
        <f t="shared" si="32"/>
        <v>0.18811210731641165</v>
      </c>
      <c r="Z26" s="9">
        <f t="shared" si="32"/>
        <v>0.219804580606466</v>
      </c>
      <c r="AA26" s="9">
        <f t="shared" si="32"/>
        <v>0.24384091467766822</v>
      </c>
      <c r="AB26" s="9">
        <f aca="true" t="shared" si="34" ref="AB26:AG26">AB14*AB25</f>
        <v>0.1610089363621211</v>
      </c>
      <c r="AC26" s="9">
        <f t="shared" si="34"/>
        <v>0.2216556357251869</v>
      </c>
      <c r="AD26" s="9">
        <f t="shared" si="34"/>
        <v>0.25950916525358747</v>
      </c>
      <c r="AE26" s="9">
        <f t="shared" si="34"/>
        <v>0.288337431954615</v>
      </c>
      <c r="AF26" s="9">
        <f t="shared" si="34"/>
        <v>0.18496859951124656</v>
      </c>
      <c r="AG26" s="9">
        <f t="shared" si="34"/>
        <v>0.25519916413396215</v>
      </c>
    </row>
    <row r="27" spans="1:33" ht="12.75">
      <c r="A27" s="1" t="s">
        <v>22</v>
      </c>
      <c r="B27" s="9">
        <f>B26*B15</f>
        <v>0.06773875965520672</v>
      </c>
      <c r="C27" s="9">
        <f>C26*C15</f>
        <v>0.08648480010308222</v>
      </c>
      <c r="D27" s="15"/>
      <c r="E27" s="9">
        <f>E26*E15</f>
        <v>0.045024998989836036</v>
      </c>
      <c r="F27" s="9">
        <f>F26*F15</f>
        <v>0.0726625662710045</v>
      </c>
      <c r="G27" s="9">
        <f>G26*G15</f>
        <v>0.06588907366009426</v>
      </c>
      <c r="H27" s="15"/>
      <c r="I27" s="9">
        <f>I26*I15</f>
        <v>0.022282486728686424</v>
      </c>
      <c r="J27" s="9">
        <f>J26*J15</f>
        <v>0.03837379649963892</v>
      </c>
      <c r="K27" s="15"/>
      <c r="L27" s="9">
        <f aca="true" t="shared" si="35" ref="L27:AA27">L26*L15</f>
        <v>0.03871197003094368</v>
      </c>
      <c r="M27" s="9">
        <f t="shared" si="35"/>
        <v>0.05042799886861637</v>
      </c>
      <c r="N27" s="9">
        <f t="shared" si="35"/>
        <v>0.03837379649963892</v>
      </c>
      <c r="O27" s="9">
        <f t="shared" si="35"/>
        <v>0.052671390048595265</v>
      </c>
      <c r="P27" s="9">
        <f t="shared" si="35"/>
        <v>0.06827545610974711</v>
      </c>
      <c r="Q27" s="9">
        <f>Q26*Q15</f>
        <v>0.04508250218139391</v>
      </c>
      <c r="R27" s="9">
        <f aca="true" t="shared" si="36" ref="R27:W27">R26*R15</f>
        <v>0.06206357800305234</v>
      </c>
      <c r="S27" s="9">
        <f t="shared" si="36"/>
        <v>0.0726625662710045</v>
      </c>
      <c r="T27" s="9">
        <f t="shared" si="36"/>
        <v>0.0807344809472922</v>
      </c>
      <c r="U27" s="9">
        <f t="shared" si="36"/>
        <v>0.051791207863149044</v>
      </c>
      <c r="V27" s="9">
        <f t="shared" si="36"/>
        <v>0.07145576595750941</v>
      </c>
      <c r="W27" s="9">
        <f t="shared" si="36"/>
        <v>0.08377984997219866</v>
      </c>
      <c r="X27" s="9">
        <f t="shared" si="35"/>
        <v>0.05581643127220203</v>
      </c>
      <c r="Y27" s="9">
        <f t="shared" si="35"/>
        <v>0.052671390048595265</v>
      </c>
      <c r="Z27" s="9">
        <f t="shared" si="35"/>
        <v>0.06154528256981048</v>
      </c>
      <c r="AA27" s="9">
        <f t="shared" si="35"/>
        <v>0.06827545610974711</v>
      </c>
      <c r="AB27" s="9">
        <f aca="true" t="shared" si="37" ref="AB27:AG27">AB26*AB15</f>
        <v>0.04508250218139391</v>
      </c>
      <c r="AC27" s="9">
        <f t="shared" si="37"/>
        <v>0.06206357800305234</v>
      </c>
      <c r="AD27" s="9">
        <f t="shared" si="37"/>
        <v>0.0726625662710045</v>
      </c>
      <c r="AE27" s="9">
        <f t="shared" si="37"/>
        <v>0.0807344809472922</v>
      </c>
      <c r="AF27" s="9">
        <f t="shared" si="37"/>
        <v>0.051791207863149044</v>
      </c>
      <c r="AG27" s="9">
        <f t="shared" si="37"/>
        <v>0.07145576595750941</v>
      </c>
    </row>
    <row r="28" spans="1:33" ht="12.75">
      <c r="A28" s="1" t="s">
        <v>23</v>
      </c>
      <c r="B28" s="29">
        <f>B27*16/0.454</f>
        <v>2.3872690627385627</v>
      </c>
      <c r="C28" s="29">
        <f>C27*16/0.454</f>
        <v>3.047922470593206</v>
      </c>
      <c r="D28" s="15"/>
      <c r="E28" s="11">
        <f>E27*16/0.454</f>
        <v>1.5867841053686709</v>
      </c>
      <c r="F28" s="29">
        <f>F27*16/0.454</f>
        <v>2.5607952870838586</v>
      </c>
      <c r="G28" s="11">
        <f>G27*16/0.454</f>
        <v>2.3220818911046437</v>
      </c>
      <c r="H28" s="15"/>
      <c r="I28" s="11">
        <f>I27*16/0.454</f>
        <v>0.7852858759008431</v>
      </c>
      <c r="J28" s="11">
        <f>J27*16/0.454</f>
        <v>1.3523804933793453</v>
      </c>
      <c r="K28" s="15"/>
      <c r="L28" s="11">
        <f aca="true" t="shared" si="38" ref="L28:AA28">L27*16/0.454</f>
        <v>1.3642985032931694</v>
      </c>
      <c r="M28" s="11">
        <f t="shared" si="38"/>
        <v>1.7771981980129117</v>
      </c>
      <c r="N28" s="11">
        <f t="shared" si="38"/>
        <v>1.3523804933793453</v>
      </c>
      <c r="O28" s="11">
        <f t="shared" si="38"/>
        <v>1.8562604422412428</v>
      </c>
      <c r="P28" s="11">
        <f t="shared" si="38"/>
        <v>2.4061834752333784</v>
      </c>
      <c r="Q28" s="11">
        <f>Q27*16/0.454</f>
        <v>1.588810649564543</v>
      </c>
      <c r="R28" s="11">
        <f aca="true" t="shared" si="39" ref="R28:W28">R27*16/0.454</f>
        <v>2.187262660900523</v>
      </c>
      <c r="S28" s="11">
        <f t="shared" si="39"/>
        <v>2.5607952870838586</v>
      </c>
      <c r="T28" s="11">
        <f t="shared" si="39"/>
        <v>2.8452680510058923</v>
      </c>
      <c r="U28" s="11">
        <f t="shared" si="39"/>
        <v>1.825240805749746</v>
      </c>
      <c r="V28" s="11">
        <f t="shared" si="39"/>
        <v>2.518264879559803</v>
      </c>
      <c r="W28" s="11">
        <f t="shared" si="39"/>
        <v>2.952593831619336</v>
      </c>
      <c r="X28" s="11">
        <f t="shared" si="38"/>
        <v>1.9670988994608645</v>
      </c>
      <c r="Y28" s="11">
        <f t="shared" si="38"/>
        <v>1.8562604422412428</v>
      </c>
      <c r="Z28" s="11">
        <f t="shared" si="38"/>
        <v>2.168996742548387</v>
      </c>
      <c r="AA28" s="11">
        <f t="shared" si="38"/>
        <v>2.4061834752333784</v>
      </c>
      <c r="AB28" s="11">
        <f aca="true" t="shared" si="40" ref="AB28:AG28">AB27*16/0.454</f>
        <v>1.588810649564543</v>
      </c>
      <c r="AC28" s="11">
        <f t="shared" si="40"/>
        <v>2.187262660900523</v>
      </c>
      <c r="AD28" s="11">
        <f t="shared" si="40"/>
        <v>2.5607952870838586</v>
      </c>
      <c r="AE28" s="11">
        <f t="shared" si="40"/>
        <v>2.8452680510058923</v>
      </c>
      <c r="AF28" s="11">
        <f t="shared" si="40"/>
        <v>1.825240805749746</v>
      </c>
      <c r="AG28" s="11">
        <f t="shared" si="40"/>
        <v>2.518264879559803</v>
      </c>
    </row>
    <row r="29" spans="1:33" ht="12.75">
      <c r="A29" s="1" t="s">
        <v>14</v>
      </c>
      <c r="B29" s="10">
        <f>B22</f>
        <v>0.0079375</v>
      </c>
      <c r="C29" s="10">
        <f>C22</f>
        <v>0.0127</v>
      </c>
      <c r="D29" s="15"/>
      <c r="E29" s="10">
        <f>E22</f>
        <v>0.0079375</v>
      </c>
      <c r="F29" s="10">
        <f>F22</f>
        <v>0.011112499999999999</v>
      </c>
      <c r="G29" s="10">
        <f>G22</f>
        <v>0.009524999999999999</v>
      </c>
      <c r="H29" s="15"/>
      <c r="I29" s="10">
        <f>I22</f>
        <v>0.00635</v>
      </c>
      <c r="J29" s="10">
        <f>J22</f>
        <v>0.009524999999999999</v>
      </c>
      <c r="K29" s="15"/>
      <c r="L29" s="10">
        <f aca="true" t="shared" si="41" ref="L29:AG29">L22</f>
        <v>0.00635</v>
      </c>
      <c r="M29" s="10">
        <f t="shared" si="41"/>
        <v>0.0079375</v>
      </c>
      <c r="N29" s="10">
        <f t="shared" si="41"/>
        <v>0.009524999999999999</v>
      </c>
      <c r="O29" s="10">
        <f t="shared" si="41"/>
        <v>0.009524999999999999</v>
      </c>
      <c r="P29" s="10">
        <f t="shared" si="41"/>
        <v>0.009524999999999999</v>
      </c>
      <c r="Q29" s="10">
        <f t="shared" si="41"/>
        <v>0.011112499999999999</v>
      </c>
      <c r="R29" s="10">
        <f t="shared" si="41"/>
        <v>0.011112499999999999</v>
      </c>
      <c r="S29" s="10">
        <f t="shared" si="41"/>
        <v>0.011112499999999999</v>
      </c>
      <c r="T29" s="10">
        <f t="shared" si="41"/>
        <v>0.011112499999999999</v>
      </c>
      <c r="U29" s="10">
        <f t="shared" si="41"/>
        <v>0.0127</v>
      </c>
      <c r="V29" s="10">
        <f t="shared" si="41"/>
        <v>0.0127</v>
      </c>
      <c r="W29" s="10">
        <f t="shared" si="41"/>
        <v>0.0127</v>
      </c>
      <c r="X29" s="10">
        <f t="shared" si="41"/>
        <v>0.0079375</v>
      </c>
      <c r="Y29" s="10">
        <f t="shared" si="41"/>
        <v>0.009524999999999999</v>
      </c>
      <c r="Z29" s="10">
        <f t="shared" si="41"/>
        <v>0.009524999999999999</v>
      </c>
      <c r="AA29" s="10">
        <f t="shared" si="41"/>
        <v>0.009524999999999999</v>
      </c>
      <c r="AB29" s="10">
        <f t="shared" si="41"/>
        <v>0.011112499999999999</v>
      </c>
      <c r="AC29" s="10">
        <f t="shared" si="41"/>
        <v>0.011112499999999999</v>
      </c>
      <c r="AD29" s="10">
        <f t="shared" si="41"/>
        <v>0.011112499999999999</v>
      </c>
      <c r="AE29" s="10">
        <f t="shared" si="41"/>
        <v>0.011112499999999999</v>
      </c>
      <c r="AF29" s="10">
        <f t="shared" si="41"/>
        <v>0.0127</v>
      </c>
      <c r="AG29" s="10">
        <f t="shared" si="41"/>
        <v>0.0127</v>
      </c>
    </row>
    <row r="30" spans="1:33" ht="12.75">
      <c r="A30" s="1" t="s">
        <v>11</v>
      </c>
      <c r="B30" s="10">
        <f>PI()*(POWER(B22,4)-POWER(B23,4))/4</f>
        <v>2.358769815641773E-09</v>
      </c>
      <c r="C30" s="10">
        <f>PI()*(POWER(C22,4)-POWER(C23,4))/4</f>
        <v>8.178909247206502E-09</v>
      </c>
      <c r="D30" s="15"/>
      <c r="E30" s="10">
        <f>PI()*(POWER(E22,4)-POWER(E23,4))/4</f>
        <v>1.7461947832947174E-09</v>
      </c>
      <c r="F30" s="10">
        <f>PI()*(POWER(F22,4)-POWER(F23,4))/4</f>
        <v>5.196036205345527E-09</v>
      </c>
      <c r="G30" s="10">
        <f>PI()*(POWER(G22,4)-POWER(G23,4))/4</f>
        <v>3.3470895924523534E-09</v>
      </c>
      <c r="H30" s="15"/>
      <c r="I30" s="10">
        <f>PI()*(POWER(I22,4)-POWER(I23,4))/4</f>
        <v>5.784624350540083E-10</v>
      </c>
      <c r="J30" s="10">
        <f>PI()*(POWER(J22,4)-POWER(J23,4))/4</f>
        <v>2.0961402424786823E-09</v>
      </c>
      <c r="K30" s="15"/>
      <c r="L30" s="10">
        <f aca="true" t="shared" si="42" ref="L30:AG30">PI()*(POWER(L22,4)-POWER(L23,4))/4</f>
        <v>8.940588363249267E-10</v>
      </c>
      <c r="M30" s="10">
        <f t="shared" si="42"/>
        <v>1.7461947832947174E-09</v>
      </c>
      <c r="N30" s="10">
        <f t="shared" si="42"/>
        <v>2.0961402424786823E-09</v>
      </c>
      <c r="O30" s="10">
        <f t="shared" si="42"/>
        <v>2.772437054893301E-09</v>
      </c>
      <c r="P30" s="10">
        <f t="shared" si="42"/>
        <v>3.44566301428989E-09</v>
      </c>
      <c r="Q30" s="10">
        <f t="shared" si="42"/>
        <v>3.396674919231672E-09</v>
      </c>
      <c r="R30" s="10">
        <f t="shared" si="42"/>
        <v>4.529566276365844E-09</v>
      </c>
      <c r="S30" s="10">
        <f t="shared" si="42"/>
        <v>5.196036205345527E-09</v>
      </c>
      <c r="T30" s="10">
        <f t="shared" si="42"/>
        <v>5.682649470004345E-09</v>
      </c>
      <c r="U30" s="10">
        <f t="shared" si="42"/>
        <v>5.147728852770963E-09</v>
      </c>
      <c r="V30" s="10">
        <f t="shared" si="42"/>
        <v>6.906910341347516E-09</v>
      </c>
      <c r="W30" s="10">
        <f t="shared" si="42"/>
        <v>7.954607458794833E-09</v>
      </c>
      <c r="X30" s="10">
        <f t="shared" si="42"/>
        <v>1.890968052058753E-09</v>
      </c>
      <c r="Y30" s="10">
        <f t="shared" si="42"/>
        <v>2.772437054893301E-09</v>
      </c>
      <c r="Z30" s="10">
        <f t="shared" si="42"/>
        <v>3.1635977921028714E-09</v>
      </c>
      <c r="AA30" s="10">
        <f t="shared" si="42"/>
        <v>3.44566301428989E-09</v>
      </c>
      <c r="AB30" s="10">
        <f t="shared" si="42"/>
        <v>3.396674919231672E-09</v>
      </c>
      <c r="AC30" s="10">
        <f t="shared" si="42"/>
        <v>4.529566276365844E-09</v>
      </c>
      <c r="AD30" s="10">
        <f t="shared" si="42"/>
        <v>5.196036205345527E-09</v>
      </c>
      <c r="AE30" s="10">
        <f t="shared" si="42"/>
        <v>5.682649470004345E-09</v>
      </c>
      <c r="AF30" s="10">
        <f t="shared" si="42"/>
        <v>5.147728852770963E-09</v>
      </c>
      <c r="AG30" s="10">
        <f t="shared" si="42"/>
        <v>6.906910341347516E-09</v>
      </c>
    </row>
    <row r="31" spans="1:33" ht="12.75">
      <c r="A31" s="1" t="s">
        <v>15</v>
      </c>
      <c r="B31" s="8">
        <f>B19*B21*B29/B30/1000000</f>
        <v>51.909776306610794</v>
      </c>
      <c r="C31" s="8">
        <f>C19*C21*C29/C30/1000000</f>
        <v>30.79667158796639</v>
      </c>
      <c r="D31" s="15"/>
      <c r="E31" s="8">
        <f>E19*E21*E29/E30/1000000</f>
        <v>70.12002020629357</v>
      </c>
      <c r="F31" s="8">
        <f>F19*F21*F29/F30/1000000</f>
        <v>42.41652205059915</v>
      </c>
      <c r="G31" s="8">
        <f>G19*G21*G29/G30/1000000</f>
        <v>56.44079171095246</v>
      </c>
      <c r="H31" s="15"/>
      <c r="I31" s="8">
        <f>I19*I21*I29/I30/1000000</f>
        <v>169.3360966159444</v>
      </c>
      <c r="J31" s="8">
        <f>J19*J21*J29/J30/1000000</f>
        <v>90.12392524944393</v>
      </c>
      <c r="K31" s="15"/>
      <c r="L31" s="8">
        <f aca="true" t="shared" si="43" ref="L31:AA31">L19*L21*L29/L30/1000000</f>
        <v>109.56166061022014</v>
      </c>
      <c r="M31" s="8">
        <f t="shared" si="43"/>
        <v>90.15431169380605</v>
      </c>
      <c r="N31" s="8">
        <f t="shared" si="43"/>
        <v>90.12392524944393</v>
      </c>
      <c r="O31" s="8">
        <f t="shared" si="43"/>
        <v>68.13946819534573</v>
      </c>
      <c r="P31" s="8">
        <f t="shared" si="43"/>
        <v>54.82613527267194</v>
      </c>
      <c r="Q31" s="8">
        <f>Q19*Q21*Q29/Q30/1000000</f>
        <v>64.88633428882976</v>
      </c>
      <c r="R31" s="8">
        <f aca="true" t="shared" si="44" ref="R31:W31">R19*R21*R29/R30/1000000</f>
        <v>48.65759122009786</v>
      </c>
      <c r="S31" s="8">
        <f t="shared" si="44"/>
        <v>42.41652205059915</v>
      </c>
      <c r="T31" s="8">
        <f t="shared" si="44"/>
        <v>38.78433562427379</v>
      </c>
      <c r="U31" s="8">
        <f t="shared" si="44"/>
        <v>48.9309342504344</v>
      </c>
      <c r="V31" s="8">
        <f t="shared" si="44"/>
        <v>36.46828604768865</v>
      </c>
      <c r="W31" s="8">
        <f t="shared" si="44"/>
        <v>31.66506748934683</v>
      </c>
      <c r="X31" s="8">
        <f t="shared" si="43"/>
        <v>83.25206160931944</v>
      </c>
      <c r="Y31" s="8">
        <f t="shared" si="43"/>
        <v>68.13946819534573</v>
      </c>
      <c r="Z31" s="8">
        <f t="shared" si="43"/>
        <v>59.71441344316033</v>
      </c>
      <c r="AA31" s="8">
        <f t="shared" si="43"/>
        <v>54.82613527267194</v>
      </c>
      <c r="AB31" s="8">
        <f aca="true" t="shared" si="45" ref="AB31:AG31">AB19*AB21*AB29/AB30/1000000</f>
        <v>64.88633428882976</v>
      </c>
      <c r="AC31" s="8">
        <f t="shared" si="45"/>
        <v>48.65759122009786</v>
      </c>
      <c r="AD31" s="8">
        <f t="shared" si="45"/>
        <v>42.41652205059915</v>
      </c>
      <c r="AE31" s="8">
        <f t="shared" si="45"/>
        <v>38.78433562427379</v>
      </c>
      <c r="AF31" s="8">
        <f t="shared" si="45"/>
        <v>48.9309342504344</v>
      </c>
      <c r="AG31" s="8">
        <f t="shared" si="45"/>
        <v>36.46828604768865</v>
      </c>
    </row>
    <row r="32" spans="1:33" ht="12.75">
      <c r="A32" s="1" t="s">
        <v>21</v>
      </c>
      <c r="B32" s="14">
        <f>B13/B31</f>
        <v>5.642857142857142</v>
      </c>
      <c r="C32" s="14">
        <f>C13/C31</f>
        <v>9.51139967120121</v>
      </c>
      <c r="D32" s="15"/>
      <c r="E32" s="14">
        <f>E13/E31</f>
        <v>3.2087840154359406</v>
      </c>
      <c r="F32" s="14">
        <f>F13/F31</f>
        <v>5.304536749420308</v>
      </c>
      <c r="G32" s="14">
        <f>G13/G31</f>
        <v>4.872362553104223</v>
      </c>
      <c r="H32" s="15"/>
      <c r="I32" s="14">
        <f>I13/I31</f>
        <v>2.9822347986758193</v>
      </c>
      <c r="J32" s="14">
        <f>J13/J31</f>
        <v>5.603395531233987</v>
      </c>
      <c r="K32" s="15"/>
      <c r="L32" s="14">
        <f aca="true" t="shared" si="46" ref="L32:AA32">L13/L31</f>
        <v>3.1489117459380465</v>
      </c>
      <c r="M32" s="14">
        <f t="shared" si="46"/>
        <v>3.8267720480384173</v>
      </c>
      <c r="N32" s="14">
        <f t="shared" si="46"/>
        <v>3.828062293615298</v>
      </c>
      <c r="O32" s="14">
        <f t="shared" si="46"/>
        <v>5.063144887056299</v>
      </c>
      <c r="P32" s="14">
        <f t="shared" si="46"/>
        <v>6.292619355425643</v>
      </c>
      <c r="Q32" s="14">
        <f>Q13/Q31</f>
        <v>5.316990145633671</v>
      </c>
      <c r="R32" s="14">
        <f aca="true" t="shared" si="47" ref="R32:W32">R13/R31</f>
        <v>7.09036331945464</v>
      </c>
      <c r="S32" s="14">
        <f t="shared" si="47"/>
        <v>8.133623015777804</v>
      </c>
      <c r="T32" s="14">
        <f t="shared" si="47"/>
        <v>8.89534381463212</v>
      </c>
      <c r="U32" s="14">
        <f t="shared" si="47"/>
        <v>7.050754400769226</v>
      </c>
      <c r="V32" s="14">
        <f t="shared" si="47"/>
        <v>9.460274594447688</v>
      </c>
      <c r="W32" s="14">
        <f t="shared" si="47"/>
        <v>10.895287057767028</v>
      </c>
      <c r="X32" s="14">
        <f t="shared" si="46"/>
        <v>3.303221502075281</v>
      </c>
      <c r="Y32" s="14">
        <f t="shared" si="46"/>
        <v>4.035840127363716</v>
      </c>
      <c r="Z32" s="14">
        <f t="shared" si="46"/>
        <v>4.605253307256565</v>
      </c>
      <c r="AA32" s="14">
        <f t="shared" si="46"/>
        <v>5.015856007947976</v>
      </c>
      <c r="AB32" s="14">
        <f aca="true" t="shared" si="48" ref="AB32:AG32">AB13/AB31</f>
        <v>4.238180550867419</v>
      </c>
      <c r="AC32" s="14">
        <f t="shared" si="48"/>
        <v>5.651738877826162</v>
      </c>
      <c r="AD32" s="14">
        <f t="shared" si="48"/>
        <v>6.483322693735931</v>
      </c>
      <c r="AE32" s="14">
        <f t="shared" si="48"/>
        <v>7.090491446445893</v>
      </c>
      <c r="AF32" s="14">
        <f t="shared" si="48"/>
        <v>5.620166551337789</v>
      </c>
      <c r="AG32" s="14">
        <f t="shared" si="48"/>
        <v>7.540798589777142</v>
      </c>
    </row>
    <row r="33" spans="1:33" ht="12.75">
      <c r="A33" s="1" t="s">
        <v>68</v>
      </c>
      <c r="B33" s="34">
        <f>IF(1=B2,3,4)</f>
        <v>3</v>
      </c>
      <c r="C33" s="34">
        <f>IF(1=C2,3,4)</f>
        <v>4</v>
      </c>
      <c r="D33" s="15"/>
      <c r="E33" s="34">
        <f>IF(1=E2,3,4)</f>
        <v>3</v>
      </c>
      <c r="F33" s="34">
        <f>IF(1=F2,3,4)</f>
        <v>4</v>
      </c>
      <c r="G33" s="34">
        <f>IF(1=G2,3,4)</f>
        <v>4</v>
      </c>
      <c r="H33" s="15"/>
      <c r="I33" s="34">
        <f>IF(1=I2,3,4)</f>
        <v>3</v>
      </c>
      <c r="J33" s="34">
        <f>IF(1=J2,3,4)</f>
        <v>4</v>
      </c>
      <c r="K33" s="15"/>
      <c r="L33" s="34">
        <f aca="true" t="shared" si="49" ref="L33:AG33">IF(1=L2,3,4)</f>
        <v>3</v>
      </c>
      <c r="M33" s="34">
        <f t="shared" si="49"/>
        <v>4</v>
      </c>
      <c r="N33" s="34">
        <f t="shared" si="49"/>
        <v>4</v>
      </c>
      <c r="O33" s="34">
        <f t="shared" si="49"/>
        <v>4</v>
      </c>
      <c r="P33" s="34">
        <f t="shared" si="49"/>
        <v>4</v>
      </c>
      <c r="Q33" s="34">
        <f t="shared" si="49"/>
        <v>4</v>
      </c>
      <c r="R33" s="34">
        <f t="shared" si="49"/>
        <v>4</v>
      </c>
      <c r="S33" s="34">
        <f t="shared" si="49"/>
        <v>4</v>
      </c>
      <c r="T33" s="34">
        <f t="shared" si="49"/>
        <v>4</v>
      </c>
      <c r="U33" s="34">
        <f t="shared" si="49"/>
        <v>4</v>
      </c>
      <c r="V33" s="34">
        <f t="shared" si="49"/>
        <v>4</v>
      </c>
      <c r="W33" s="34">
        <f t="shared" si="49"/>
        <v>4</v>
      </c>
      <c r="X33" s="34">
        <f t="shared" si="49"/>
        <v>4</v>
      </c>
      <c r="Y33" s="34">
        <f t="shared" si="49"/>
        <v>4</v>
      </c>
      <c r="Z33" s="34">
        <f t="shared" si="49"/>
        <v>4</v>
      </c>
      <c r="AA33" s="34">
        <f t="shared" si="49"/>
        <v>4</v>
      </c>
      <c r="AB33" s="34">
        <f t="shared" si="49"/>
        <v>4</v>
      </c>
      <c r="AC33" s="34">
        <f t="shared" si="49"/>
        <v>4</v>
      </c>
      <c r="AD33" s="34">
        <f t="shared" si="49"/>
        <v>4</v>
      </c>
      <c r="AE33" s="34">
        <f t="shared" si="49"/>
        <v>4</v>
      </c>
      <c r="AF33" s="34">
        <f t="shared" si="49"/>
        <v>4</v>
      </c>
      <c r="AG33" s="34">
        <f t="shared" si="49"/>
        <v>4</v>
      </c>
    </row>
    <row r="34" spans="1:33" ht="38.25">
      <c r="A34" s="30" t="s">
        <v>60</v>
      </c>
      <c r="B34" s="35">
        <f>IF(1=B2,2*(B28-$B28),IF(2=B2,B28-$C28,0))</f>
        <v>0</v>
      </c>
      <c r="C34" s="35">
        <f>IF(1=C2,2*(C28-$B28),IF(2=C2,C28-$C28,0))</f>
        <v>0</v>
      </c>
      <c r="D34" s="36"/>
      <c r="E34" s="35">
        <f>IF(1=E2,2*(E28-$B28),IF(2=E2,E28-$C28,0))</f>
        <v>-1.6009699147397836</v>
      </c>
      <c r="F34" s="35">
        <f>IF(1=F2,2*(F28-$B28),IF(2=F2,F28-$C28,0))</f>
        <v>-0.48712718350934736</v>
      </c>
      <c r="G34" s="35">
        <f>IF(1=G2,2*(G28-$B28),IF(2=G2,G28-$C28,0))</f>
        <v>-0.7258405794885623</v>
      </c>
      <c r="H34" s="36"/>
      <c r="I34" s="35">
        <f>IF(1=I2,2*(I28-$B28),IF(2=I2,I28-$C28,0))</f>
        <v>-3.2039663736754393</v>
      </c>
      <c r="J34" s="35">
        <f>IF(1=J2,2*(J28-$B28),IF(2=J2,J28-$C28,0))</f>
        <v>-1.6955419772138607</v>
      </c>
      <c r="K34" s="36"/>
      <c r="L34" s="35">
        <f aca="true" t="shared" si="50" ref="L34:AG34">IF(1=L2,2*(L28-$B28),IF(2=L2,L28-$C28,0))</f>
        <v>-2.0459411188907866</v>
      </c>
      <c r="M34" s="35">
        <f t="shared" si="50"/>
        <v>-1.2707242725802943</v>
      </c>
      <c r="N34" s="35">
        <f t="shared" si="50"/>
        <v>-1.6955419772138607</v>
      </c>
      <c r="O34" s="35">
        <f t="shared" si="50"/>
        <v>-1.1916620283519632</v>
      </c>
      <c r="P34" s="35">
        <f t="shared" si="50"/>
        <v>-0.6417389953598276</v>
      </c>
      <c r="Q34" s="35">
        <f t="shared" si="50"/>
        <v>-1.4591118210286629</v>
      </c>
      <c r="R34" s="35">
        <f t="shared" si="50"/>
        <v>-0.8606598096926832</v>
      </c>
      <c r="S34" s="35">
        <f t="shared" si="50"/>
        <v>-0.48712718350934736</v>
      </c>
      <c r="T34" s="35">
        <f t="shared" si="50"/>
        <v>-0.20265441958731367</v>
      </c>
      <c r="U34" s="35">
        <f t="shared" si="50"/>
        <v>-1.22268166484346</v>
      </c>
      <c r="V34" s="35">
        <f t="shared" si="50"/>
        <v>-0.5296575910334029</v>
      </c>
      <c r="W34" s="35">
        <f t="shared" si="50"/>
        <v>-0.09532863897387012</v>
      </c>
      <c r="X34" s="35">
        <f t="shared" si="50"/>
        <v>-1.0808235711323415</v>
      </c>
      <c r="Y34" s="35">
        <f t="shared" si="50"/>
        <v>-1.1916620283519632</v>
      </c>
      <c r="Z34" s="35">
        <f t="shared" si="50"/>
        <v>-0.8789257280448188</v>
      </c>
      <c r="AA34" s="35">
        <f t="shared" si="50"/>
        <v>-0.6417389953598276</v>
      </c>
      <c r="AB34" s="35">
        <f t="shared" si="50"/>
        <v>-1.4591118210286629</v>
      </c>
      <c r="AC34" s="35">
        <f t="shared" si="50"/>
        <v>-0.8606598096926832</v>
      </c>
      <c r="AD34" s="35">
        <f t="shared" si="50"/>
        <v>-0.48712718350934736</v>
      </c>
      <c r="AE34" s="35">
        <f t="shared" si="50"/>
        <v>-0.20265441958731367</v>
      </c>
      <c r="AF34" s="35">
        <f t="shared" si="50"/>
        <v>-1.22268166484346</v>
      </c>
      <c r="AG34" s="35">
        <f t="shared" si="50"/>
        <v>-0.5296575910334029</v>
      </c>
    </row>
    <row r="35" spans="1:33" ht="12.75">
      <c r="A35" s="32"/>
      <c r="B35" s="33"/>
      <c r="C35" s="33"/>
      <c r="D35" s="31"/>
      <c r="E35" s="33"/>
      <c r="F35" s="33"/>
      <c r="G35" s="33"/>
      <c r="H35" s="31"/>
      <c r="I35" s="33"/>
      <c r="J35" s="33"/>
      <c r="K35" s="31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2.75">
      <c r="A36" s="30" t="s">
        <v>66</v>
      </c>
      <c r="B36" s="37" t="str">
        <f>IF(B32&lt;B33,IF(B32&lt;0.9*B33,"Bad","Maybe"),"OK")</f>
        <v>OK</v>
      </c>
      <c r="C36" s="37" t="str">
        <f>IF(C32&lt;C33,IF(C32&lt;0.9*C33,"Bad","Maybe"),"OK")</f>
        <v>OK</v>
      </c>
      <c r="D36" s="38"/>
      <c r="E36" s="37" t="str">
        <f>IF(E32&lt;E33,IF(E32&lt;0.9*E33,"Bad","Maybe"),"OK")</f>
        <v>OK</v>
      </c>
      <c r="F36" s="41" t="str">
        <f>IF(F32&lt;F33,IF(F32&lt;0.9*F33,"Bad","Maybe"),"OK")</f>
        <v>OK</v>
      </c>
      <c r="G36" s="41" t="str">
        <f>IF(G32&lt;G33,IF(G32&lt;0.9*G33,"Bad","Maybe"),"OK")</f>
        <v>OK</v>
      </c>
      <c r="H36" s="38"/>
      <c r="I36" s="39" t="str">
        <f>IF(I32&lt;I33,IF(I32&lt;0.9*I33,"Bad","Maybe"),"OK")</f>
        <v>Maybe</v>
      </c>
      <c r="J36" s="37" t="str">
        <f>IF(J32&lt;J33,IF(J32&lt;0.9*J33,"Bad","Maybe"),"OK")</f>
        <v>OK</v>
      </c>
      <c r="K36" s="38"/>
      <c r="L36" s="41" t="str">
        <f aca="true" t="shared" si="51" ref="L36:AG36">IF(L32&lt;L33,IF(L32&lt;0.9*L33,"Bad","Maybe"),"OK")</f>
        <v>OK</v>
      </c>
      <c r="M36" s="39" t="str">
        <f t="shared" si="51"/>
        <v>Maybe</v>
      </c>
      <c r="N36" s="39" t="str">
        <f t="shared" si="51"/>
        <v>Maybe</v>
      </c>
      <c r="O36" s="41" t="str">
        <f t="shared" si="51"/>
        <v>OK</v>
      </c>
      <c r="P36" s="41" t="str">
        <f t="shared" si="51"/>
        <v>OK</v>
      </c>
      <c r="Q36" s="41" t="str">
        <f t="shared" si="51"/>
        <v>OK</v>
      </c>
      <c r="R36" s="41" t="str">
        <f t="shared" si="51"/>
        <v>OK</v>
      </c>
      <c r="S36" s="41" t="str">
        <f t="shared" si="51"/>
        <v>OK</v>
      </c>
      <c r="T36" s="41" t="str">
        <f t="shared" si="51"/>
        <v>OK</v>
      </c>
      <c r="U36" s="41" t="str">
        <f t="shared" si="51"/>
        <v>OK</v>
      </c>
      <c r="V36" s="41" t="str">
        <f t="shared" si="51"/>
        <v>OK</v>
      </c>
      <c r="W36" s="41" t="str">
        <f t="shared" si="51"/>
        <v>OK</v>
      </c>
      <c r="X36" s="54" t="str">
        <f t="shared" si="51"/>
        <v>Bad</v>
      </c>
      <c r="Y36" s="41" t="str">
        <f t="shared" si="51"/>
        <v>OK</v>
      </c>
      <c r="Z36" s="41" t="str">
        <f t="shared" si="51"/>
        <v>OK</v>
      </c>
      <c r="AA36" s="41" t="str">
        <f t="shared" si="51"/>
        <v>OK</v>
      </c>
      <c r="AB36" s="41" t="str">
        <f t="shared" si="51"/>
        <v>OK</v>
      </c>
      <c r="AC36" s="41" t="str">
        <f t="shared" si="51"/>
        <v>OK</v>
      </c>
      <c r="AD36" s="41" t="str">
        <f t="shared" si="51"/>
        <v>OK</v>
      </c>
      <c r="AE36" s="41" t="str">
        <f t="shared" si="51"/>
        <v>OK</v>
      </c>
      <c r="AF36" s="41" t="str">
        <f t="shared" si="51"/>
        <v>OK</v>
      </c>
      <c r="AG36" s="41" t="str">
        <f t="shared" si="51"/>
        <v>OK</v>
      </c>
    </row>
    <row r="37" spans="1:33" ht="12.75">
      <c r="A37" s="1" t="s">
        <v>69</v>
      </c>
      <c r="B37" s="47" t="str">
        <f>IF(AND(2=B2,OR(AND(B10&lt;0.05,B13&lt;300),AND(B10&lt;0.045,B13&lt;400),B10&lt;0.04)),"Problem","OK")</f>
        <v>OK</v>
      </c>
      <c r="C37" s="47" t="str">
        <f>IF(AND(2=C2,OR(AND(C10&lt;0.05,C13&lt;300),AND(C10&lt;0.045,C13&lt;400),C10&lt;0.04)),"Problem","OK")</f>
        <v>OK</v>
      </c>
      <c r="D37" s="38"/>
      <c r="E37" s="47" t="str">
        <f>IF(AND(2=E2,OR(AND(E10&lt;0.05,E13&lt;300),AND(E10&lt;0.045,E13&lt;400),E10&lt;0.04)),"Problem","OK")</f>
        <v>OK</v>
      </c>
      <c r="F37" s="47" t="str">
        <f>IF(AND(2=F2,OR(AND(F10&lt;0.05,F13&lt;300),AND(F10&lt;0.045,F13&lt;400),F10&lt;0.04)),"Problem","OK")</f>
        <v>OK</v>
      </c>
      <c r="G37" s="47" t="str">
        <f>IF(AND(2=G2,OR(AND(G10&lt;0.05,G13&lt;300),AND(G10&lt;0.045,G13&lt;400),G10&lt;0.04)),"Problem","OK")</f>
        <v>OK</v>
      </c>
      <c r="H37" s="38"/>
      <c r="I37" s="47" t="str">
        <f>IF(AND(2=I2,OR(AND(I10&lt;0.05,I13&lt;300),AND(I10&lt;0.045,I13&lt;400),I10&lt;0.04)),"Problem","OK")</f>
        <v>OK</v>
      </c>
      <c r="J37" s="48" t="str">
        <f>IF(AND(2=J2,OR(AND(J10&lt;0.05,J13&lt;300),AND(J10&lt;0.045,J13&lt;400),J10&lt;0.04)),"Problem","OK")</f>
        <v>Problem</v>
      </c>
      <c r="K37" s="38"/>
      <c r="L37" s="47" t="str">
        <f aca="true" t="shared" si="52" ref="L37:AG37">IF(AND(2=L2,OR(AND(L10&lt;0.05,L13&lt;300),AND(L10&lt;0.045,L13&lt;400),L10&lt;0.04)),"Problem","OK")</f>
        <v>OK</v>
      </c>
      <c r="M37" s="47" t="str">
        <f t="shared" si="52"/>
        <v>OK</v>
      </c>
      <c r="N37" s="48" t="str">
        <f t="shared" si="52"/>
        <v>Problem</v>
      </c>
      <c r="O37" s="47" t="str">
        <f t="shared" si="52"/>
        <v>OK</v>
      </c>
      <c r="P37" s="47" t="str">
        <f t="shared" si="52"/>
        <v>OK</v>
      </c>
      <c r="Q37" s="48" t="str">
        <f t="shared" si="52"/>
        <v>Problem</v>
      </c>
      <c r="R37" s="47" t="str">
        <f t="shared" si="52"/>
        <v>OK</v>
      </c>
      <c r="S37" s="47" t="str">
        <f t="shared" si="52"/>
        <v>OK</v>
      </c>
      <c r="T37" s="47" t="str">
        <f t="shared" si="52"/>
        <v>OK</v>
      </c>
      <c r="U37" s="48" t="str">
        <f t="shared" si="52"/>
        <v>Problem</v>
      </c>
      <c r="V37" s="47" t="str">
        <f t="shared" si="52"/>
        <v>OK</v>
      </c>
      <c r="W37" s="47" t="str">
        <f t="shared" si="52"/>
        <v>OK</v>
      </c>
      <c r="X37" s="47" t="str">
        <f t="shared" si="52"/>
        <v>OK</v>
      </c>
      <c r="Y37" s="48" t="str">
        <f t="shared" si="52"/>
        <v>Problem</v>
      </c>
      <c r="Z37" s="47" t="str">
        <f t="shared" si="52"/>
        <v>OK</v>
      </c>
      <c r="AA37" s="47" t="str">
        <f t="shared" si="52"/>
        <v>OK</v>
      </c>
      <c r="AB37" s="48" t="str">
        <f t="shared" si="52"/>
        <v>Problem</v>
      </c>
      <c r="AC37" s="48" t="str">
        <f t="shared" si="52"/>
        <v>Problem</v>
      </c>
      <c r="AD37" s="47" t="str">
        <f t="shared" si="52"/>
        <v>OK</v>
      </c>
      <c r="AE37" s="47" t="str">
        <f t="shared" si="52"/>
        <v>OK</v>
      </c>
      <c r="AF37" s="48" t="str">
        <f t="shared" si="52"/>
        <v>Problem</v>
      </c>
      <c r="AG37" s="48" t="str">
        <f t="shared" si="52"/>
        <v>Problem</v>
      </c>
    </row>
    <row r="38" spans="1:33" ht="12.75">
      <c r="A38" s="1" t="s">
        <v>67</v>
      </c>
      <c r="B38" s="47" t="str">
        <f>IF(B10&lt;0.045,"Maybe","OK")</f>
        <v>OK</v>
      </c>
      <c r="C38" s="47" t="str">
        <f>IF(C10&lt;0.045,"Maybe","OK")</f>
        <v>OK</v>
      </c>
      <c r="D38" s="38"/>
      <c r="E38" s="47" t="str">
        <f>IF(E10&lt;0.045,"Maybe","OK")</f>
        <v>OK</v>
      </c>
      <c r="F38" s="47" t="str">
        <f>IF(F10&lt;0.045,"Maybe","OK")</f>
        <v>OK</v>
      </c>
      <c r="G38" s="47" t="str">
        <f>IF(G10&lt;0.045,"Maybe","OK")</f>
        <v>OK</v>
      </c>
      <c r="H38" s="38"/>
      <c r="I38" s="49" t="str">
        <f>IF(I10&lt;0.045,"Maybe","OK")</f>
        <v>Maybe</v>
      </c>
      <c r="J38" s="49" t="str">
        <f>IF(J10&lt;0.045,"Maybe","OK")</f>
        <v>Maybe</v>
      </c>
      <c r="K38" s="38"/>
      <c r="L38" s="50" t="str">
        <f aca="true" t="shared" si="53" ref="L38:AG38">IF(L10&lt;0.045,"Maybe","OK")</f>
        <v>OK</v>
      </c>
      <c r="M38" s="50" t="str">
        <f t="shared" si="53"/>
        <v>OK</v>
      </c>
      <c r="N38" s="49" t="str">
        <f t="shared" si="53"/>
        <v>Maybe</v>
      </c>
      <c r="O38" s="50" t="str">
        <f t="shared" si="53"/>
        <v>OK</v>
      </c>
      <c r="P38" s="50" t="str">
        <f t="shared" si="53"/>
        <v>OK</v>
      </c>
      <c r="Q38" s="49" t="str">
        <f t="shared" si="53"/>
        <v>Maybe</v>
      </c>
      <c r="R38" s="50" t="str">
        <f t="shared" si="53"/>
        <v>OK</v>
      </c>
      <c r="S38" s="50" t="str">
        <f t="shared" si="53"/>
        <v>OK</v>
      </c>
      <c r="T38" s="50" t="str">
        <f t="shared" si="53"/>
        <v>OK</v>
      </c>
      <c r="U38" s="49" t="str">
        <f t="shared" si="53"/>
        <v>Maybe</v>
      </c>
      <c r="V38" s="50" t="str">
        <f t="shared" si="53"/>
        <v>OK</v>
      </c>
      <c r="W38" s="50" t="str">
        <f t="shared" si="53"/>
        <v>OK</v>
      </c>
      <c r="X38" s="50" t="str">
        <f t="shared" si="53"/>
        <v>OK</v>
      </c>
      <c r="Y38" s="50" t="str">
        <f t="shared" si="53"/>
        <v>OK</v>
      </c>
      <c r="Z38" s="50" t="str">
        <f t="shared" si="53"/>
        <v>OK</v>
      </c>
      <c r="AA38" s="50" t="str">
        <f t="shared" si="53"/>
        <v>OK</v>
      </c>
      <c r="AB38" s="49" t="str">
        <f t="shared" si="53"/>
        <v>Maybe</v>
      </c>
      <c r="AC38" s="50" t="str">
        <f t="shared" si="53"/>
        <v>OK</v>
      </c>
      <c r="AD38" s="50" t="str">
        <f t="shared" si="53"/>
        <v>OK</v>
      </c>
      <c r="AE38" s="50" t="str">
        <f t="shared" si="53"/>
        <v>OK</v>
      </c>
      <c r="AF38" s="49" t="str">
        <f t="shared" si="53"/>
        <v>Maybe</v>
      </c>
      <c r="AG38" s="50" t="str">
        <f t="shared" si="53"/>
        <v>OK</v>
      </c>
    </row>
    <row r="39" spans="1:33" ht="25.5">
      <c r="A39" s="30" t="s">
        <v>80</v>
      </c>
      <c r="B39" s="47" t="str">
        <f>IF(B10&lt;0.04,"Bad",IF(AND(B10&lt;0.05,3/4&lt;B9),"Maybe","OK"))</f>
        <v>OK</v>
      </c>
      <c r="C39" s="47" t="str">
        <f>IF(C10&lt;0.04,"Bad",IF(AND(C10&lt;0.05,3/4&lt;C9),"Maybe","OK"))</f>
        <v>OK</v>
      </c>
      <c r="D39" s="38"/>
      <c r="E39" s="47" t="str">
        <f>IF(E10&lt;0.04,"Bad",IF(AND(E10&lt;0.05,3/4&lt;E9),"Maybe","OK"))</f>
        <v>OK</v>
      </c>
      <c r="F39" s="47" t="str">
        <f>IF(F10&lt;0.04,"Bad",IF(AND(F10&lt;0.05,3/4&lt;F9),"Maybe","OK"))</f>
        <v>OK</v>
      </c>
      <c r="G39" s="47" t="str">
        <f>IF(G10&lt;0.04,"Bad",IF(AND(G10&lt;0.05,3/4&lt;G9),"Maybe","OK"))</f>
        <v>OK</v>
      </c>
      <c r="H39" s="38"/>
      <c r="I39" s="48" t="str">
        <f>IF(I10&lt;0.04,"Bad",IF(AND(I10&lt;0.05,3/4&lt;I9),"Maybe","OK"))</f>
        <v>Bad</v>
      </c>
      <c r="J39" s="48" t="str">
        <f>IF(J10&lt;0.04,"Bad",IF(AND(J10&lt;0.05,3/4&lt;J9),"Maybe","OK"))</f>
        <v>Bad</v>
      </c>
      <c r="K39" s="38"/>
      <c r="L39" s="50" t="str">
        <f aca="true" t="shared" si="54" ref="L39:AG39">IF(L10&lt;0.04,"Bad",IF(AND(L10&lt;0.05,3/4&lt;L9),"Maybe","OK"))</f>
        <v>OK</v>
      </c>
      <c r="M39" s="50" t="str">
        <f t="shared" si="54"/>
        <v>OK</v>
      </c>
      <c r="N39" s="48" t="str">
        <f t="shared" si="54"/>
        <v>Bad</v>
      </c>
      <c r="O39" s="50" t="str">
        <f t="shared" si="54"/>
        <v>OK</v>
      </c>
      <c r="P39" s="50" t="str">
        <f t="shared" si="54"/>
        <v>OK</v>
      </c>
      <c r="Q39" s="48" t="str">
        <f t="shared" si="54"/>
        <v>Bad</v>
      </c>
      <c r="R39" s="49" t="str">
        <f t="shared" si="54"/>
        <v>Maybe</v>
      </c>
      <c r="S39" s="50" t="str">
        <f t="shared" si="54"/>
        <v>OK</v>
      </c>
      <c r="T39" s="50" t="str">
        <f t="shared" si="54"/>
        <v>OK</v>
      </c>
      <c r="U39" s="48" t="str">
        <f t="shared" si="54"/>
        <v>Bad</v>
      </c>
      <c r="V39" s="49" t="str">
        <f t="shared" si="54"/>
        <v>Maybe</v>
      </c>
      <c r="W39" s="50" t="str">
        <f t="shared" si="54"/>
        <v>OK</v>
      </c>
      <c r="X39" s="50" t="str">
        <f t="shared" si="54"/>
        <v>OK</v>
      </c>
      <c r="Y39" s="50" t="str">
        <f t="shared" si="54"/>
        <v>OK</v>
      </c>
      <c r="Z39" s="50" t="str">
        <f t="shared" si="54"/>
        <v>OK</v>
      </c>
      <c r="AA39" s="50" t="str">
        <f t="shared" si="54"/>
        <v>OK</v>
      </c>
      <c r="AB39" s="48" t="str">
        <f t="shared" si="54"/>
        <v>Bad</v>
      </c>
      <c r="AC39" s="49" t="str">
        <f t="shared" si="54"/>
        <v>Maybe</v>
      </c>
      <c r="AD39" s="50" t="str">
        <f t="shared" si="54"/>
        <v>OK</v>
      </c>
      <c r="AE39" s="50" t="str">
        <f t="shared" si="54"/>
        <v>OK</v>
      </c>
      <c r="AF39" s="48" t="str">
        <f t="shared" si="54"/>
        <v>Bad</v>
      </c>
      <c r="AG39" s="49" t="str">
        <f t="shared" si="54"/>
        <v>Maybe</v>
      </c>
    </row>
    <row r="40" spans="1:33" ht="25.5">
      <c r="A40" s="30" t="s">
        <v>64</v>
      </c>
      <c r="B40" s="40"/>
      <c r="C40" s="40"/>
      <c r="D40" s="38"/>
      <c r="E40" s="37" t="str">
        <f>IF(E34&lt;-0.25,IF(E34&lt;-0.75,"OK","Ho-hum"),"No")</f>
        <v>OK</v>
      </c>
      <c r="F40" s="39" t="str">
        <f>IF(F34&lt;-0.25,IF(F34&lt;-0.75,"OK","Ho-hum"),"No")</f>
        <v>Ho-hum</v>
      </c>
      <c r="G40" s="39" t="str">
        <f>IF(G34&lt;-0.25,IF(G34&lt;-0.75,"OK","Ho-hum"),"No")</f>
        <v>Ho-hum</v>
      </c>
      <c r="H40" s="38"/>
      <c r="I40" s="37" t="str">
        <f>IF(I34&lt;-0.25,IF(I34&lt;-0.75,"OK","Ho-hum"),"No")</f>
        <v>OK</v>
      </c>
      <c r="J40" s="37" t="str">
        <f>IF(J34&lt;-0.25,IF(J34&lt;-0.75,"OK","Ho-hum"),"No")</f>
        <v>OK</v>
      </c>
      <c r="K40" s="38"/>
      <c r="L40" s="41" t="str">
        <f aca="true" t="shared" si="55" ref="L40:AG40">IF(L34&lt;-0.25,IF(L34&lt;-0.75,"OK","Ho-hum"),"No")</f>
        <v>OK</v>
      </c>
      <c r="M40" s="41" t="str">
        <f t="shared" si="55"/>
        <v>OK</v>
      </c>
      <c r="N40" s="41" t="str">
        <f t="shared" si="55"/>
        <v>OK</v>
      </c>
      <c r="O40" s="41" t="str">
        <f t="shared" si="55"/>
        <v>OK</v>
      </c>
      <c r="P40" s="39" t="str">
        <f t="shared" si="55"/>
        <v>Ho-hum</v>
      </c>
      <c r="Q40" s="41" t="str">
        <f t="shared" si="55"/>
        <v>OK</v>
      </c>
      <c r="R40" s="41" t="str">
        <f t="shared" si="55"/>
        <v>OK</v>
      </c>
      <c r="S40" s="39" t="str">
        <f t="shared" si="55"/>
        <v>Ho-hum</v>
      </c>
      <c r="T40" s="54" t="str">
        <f t="shared" si="55"/>
        <v>No</v>
      </c>
      <c r="U40" s="41" t="str">
        <f t="shared" si="55"/>
        <v>OK</v>
      </c>
      <c r="V40" s="39" t="str">
        <f t="shared" si="55"/>
        <v>Ho-hum</v>
      </c>
      <c r="W40" s="54" t="str">
        <f t="shared" si="55"/>
        <v>No</v>
      </c>
      <c r="X40" s="41" t="str">
        <f t="shared" si="55"/>
        <v>OK</v>
      </c>
      <c r="Y40" s="41" t="str">
        <f t="shared" si="55"/>
        <v>OK</v>
      </c>
      <c r="Z40" s="41" t="str">
        <f t="shared" si="55"/>
        <v>OK</v>
      </c>
      <c r="AA40" s="39" t="str">
        <f t="shared" si="55"/>
        <v>Ho-hum</v>
      </c>
      <c r="AB40" s="41" t="str">
        <f t="shared" si="55"/>
        <v>OK</v>
      </c>
      <c r="AC40" s="41" t="str">
        <f t="shared" si="55"/>
        <v>OK</v>
      </c>
      <c r="AD40" s="39" t="str">
        <f t="shared" si="55"/>
        <v>Ho-hum</v>
      </c>
      <c r="AE40" s="54" t="str">
        <f t="shared" si="55"/>
        <v>No</v>
      </c>
      <c r="AF40" s="41" t="str">
        <f t="shared" si="55"/>
        <v>OK</v>
      </c>
      <c r="AG40" s="39" t="str">
        <f t="shared" si="55"/>
        <v>Ho-hum</v>
      </c>
    </row>
    <row r="41" spans="1:33" ht="25.5">
      <c r="A41" s="30" t="s">
        <v>70</v>
      </c>
      <c r="B41" s="41" t="str">
        <f>IF(AND(400&lt;B13,B10&lt;0.04),"Maybe","OK")</f>
        <v>OK</v>
      </c>
      <c r="C41" s="41" t="str">
        <f>IF(AND(400&lt;C13,C10&lt;0.04),"Maybe","OK")</f>
        <v>OK</v>
      </c>
      <c r="D41" s="38"/>
      <c r="E41" s="41" t="str">
        <f>IF(AND(400&lt;E13,E10&lt;0.04),"Maybe","OK")</f>
        <v>OK</v>
      </c>
      <c r="F41" s="41" t="str">
        <f>IF(AND(400&lt;F13,F10&lt;0.04),"Maybe","OK")</f>
        <v>OK</v>
      </c>
      <c r="G41" s="41" t="str">
        <f>IF(AND(400&lt;G13,G10&lt;0.04),"Maybe","OK")</f>
        <v>OK</v>
      </c>
      <c r="H41" s="38"/>
      <c r="I41" s="39" t="str">
        <f>IF(AND(400&lt;I13,I10&lt;0.04),"Maybe","OK")</f>
        <v>Maybe</v>
      </c>
      <c r="J41" s="39" t="str">
        <f>IF(AND(400&lt;J13,J10&lt;0.04),"Maybe","OK")</f>
        <v>Maybe</v>
      </c>
      <c r="K41" s="38"/>
      <c r="L41" s="41" t="str">
        <f aca="true" t="shared" si="56" ref="L41:AG41">IF(AND(400&lt;L13,L10&lt;0.04),"Maybe","OK")</f>
        <v>OK</v>
      </c>
      <c r="M41" s="41" t="str">
        <f t="shared" si="56"/>
        <v>OK</v>
      </c>
      <c r="N41" s="41" t="str">
        <f t="shared" si="56"/>
        <v>OK</v>
      </c>
      <c r="O41" s="41" t="str">
        <f t="shared" si="56"/>
        <v>OK</v>
      </c>
      <c r="P41" s="41" t="str">
        <f t="shared" si="56"/>
        <v>OK</v>
      </c>
      <c r="Q41" s="41" t="str">
        <f t="shared" si="56"/>
        <v>OK</v>
      </c>
      <c r="R41" s="41" t="str">
        <f t="shared" si="56"/>
        <v>OK</v>
      </c>
      <c r="S41" s="41" t="str">
        <f t="shared" si="56"/>
        <v>OK</v>
      </c>
      <c r="T41" s="41" t="str">
        <f t="shared" si="56"/>
        <v>OK</v>
      </c>
      <c r="U41" s="41" t="str">
        <f t="shared" si="56"/>
        <v>OK</v>
      </c>
      <c r="V41" s="41" t="str">
        <f t="shared" si="56"/>
        <v>OK</v>
      </c>
      <c r="W41" s="41" t="str">
        <f t="shared" si="56"/>
        <v>OK</v>
      </c>
      <c r="X41" s="41" t="str">
        <f t="shared" si="56"/>
        <v>OK</v>
      </c>
      <c r="Y41" s="41" t="str">
        <f t="shared" si="56"/>
        <v>OK</v>
      </c>
      <c r="Z41" s="41" t="str">
        <f t="shared" si="56"/>
        <v>OK</v>
      </c>
      <c r="AA41" s="41" t="str">
        <f t="shared" si="56"/>
        <v>OK</v>
      </c>
      <c r="AB41" s="41" t="str">
        <f t="shared" si="56"/>
        <v>OK</v>
      </c>
      <c r="AC41" s="41" t="str">
        <f t="shared" si="56"/>
        <v>OK</v>
      </c>
      <c r="AD41" s="41" t="str">
        <f t="shared" si="56"/>
        <v>OK</v>
      </c>
      <c r="AE41" s="41" t="str">
        <f t="shared" si="56"/>
        <v>OK</v>
      </c>
      <c r="AF41" s="41" t="str">
        <f t="shared" si="56"/>
        <v>OK</v>
      </c>
      <c r="AG41" s="41" t="str">
        <f t="shared" si="56"/>
        <v>OK</v>
      </c>
    </row>
    <row r="42" spans="1:33" ht="38.25">
      <c r="A42" s="30" t="s">
        <v>87</v>
      </c>
      <c r="B42" s="37" t="str">
        <f>IF(AND(2=B2,B9&lt;=0.7),"Maybe","OK")</f>
        <v>OK</v>
      </c>
      <c r="C42" s="37" t="str">
        <f>IF(AND(2=C2,C9&lt;=0.7),"Maybe","OK")</f>
        <v>OK</v>
      </c>
      <c r="D42" s="38"/>
      <c r="E42" s="37" t="str">
        <f>IF(AND(2=E2,E9&lt;=0.7),"Maybe","OK")</f>
        <v>OK</v>
      </c>
      <c r="F42" s="37" t="str">
        <f>IF(AND(2=F2,F9&lt;=0.7),"Maybe","OK")</f>
        <v>OK</v>
      </c>
      <c r="G42" s="37" t="str">
        <f>IF(AND(2=G2,G9&lt;=0.7),"Maybe","OK")</f>
        <v>OK</v>
      </c>
      <c r="H42" s="38"/>
      <c r="I42" s="37" t="str">
        <f>IF(AND(2=I2,I9&lt;=0.7),"Maybe","OK")</f>
        <v>OK</v>
      </c>
      <c r="J42" s="37" t="str">
        <f>IF(AND(2=J2,J9&lt;=0.7),"Maybe","OK")</f>
        <v>OK</v>
      </c>
      <c r="K42" s="38"/>
      <c r="L42" s="41" t="str">
        <f aca="true" t="shared" si="57" ref="L42:AG42">IF(AND(2=L2,L9&lt;=0.7),"Maybe","OK")</f>
        <v>OK</v>
      </c>
      <c r="M42" s="39" t="str">
        <f t="shared" si="57"/>
        <v>Maybe</v>
      </c>
      <c r="N42" s="41" t="str">
        <f t="shared" si="57"/>
        <v>OK</v>
      </c>
      <c r="O42" s="41" t="str">
        <f t="shared" si="57"/>
        <v>OK</v>
      </c>
      <c r="P42" s="41" t="str">
        <f t="shared" si="57"/>
        <v>OK</v>
      </c>
      <c r="Q42" s="41" t="str">
        <f t="shared" si="57"/>
        <v>OK</v>
      </c>
      <c r="R42" s="41" t="str">
        <f t="shared" si="57"/>
        <v>OK</v>
      </c>
      <c r="S42" s="41" t="str">
        <f t="shared" si="57"/>
        <v>OK</v>
      </c>
      <c r="T42" s="41" t="str">
        <f t="shared" si="57"/>
        <v>OK</v>
      </c>
      <c r="U42" s="41" t="str">
        <f t="shared" si="57"/>
        <v>OK</v>
      </c>
      <c r="V42" s="41" t="str">
        <f t="shared" si="57"/>
        <v>OK</v>
      </c>
      <c r="W42" s="41" t="str">
        <f t="shared" si="57"/>
        <v>OK</v>
      </c>
      <c r="X42" s="39" t="str">
        <f t="shared" si="57"/>
        <v>Maybe</v>
      </c>
      <c r="Y42" s="41" t="str">
        <f t="shared" si="57"/>
        <v>OK</v>
      </c>
      <c r="Z42" s="41" t="str">
        <f t="shared" si="57"/>
        <v>OK</v>
      </c>
      <c r="AA42" s="41" t="str">
        <f t="shared" si="57"/>
        <v>OK</v>
      </c>
      <c r="AB42" s="41" t="str">
        <f t="shared" si="57"/>
        <v>OK</v>
      </c>
      <c r="AC42" s="41" t="str">
        <f t="shared" si="57"/>
        <v>OK</v>
      </c>
      <c r="AD42" s="41" t="str">
        <f t="shared" si="57"/>
        <v>OK</v>
      </c>
      <c r="AE42" s="41" t="str">
        <f t="shared" si="57"/>
        <v>OK</v>
      </c>
      <c r="AF42" s="41" t="str">
        <f t="shared" si="57"/>
        <v>OK</v>
      </c>
      <c r="AG42" s="41" t="str">
        <f t="shared" si="57"/>
        <v>OK</v>
      </c>
    </row>
    <row r="43" spans="1:33" ht="38.25">
      <c r="A43" s="30" t="s">
        <v>88</v>
      </c>
      <c r="B43" s="37" t="str">
        <f>IF(B2=2,IF(B24&lt;0.55,IF(B24&lt;0.4,"Bad","Cramped"),"OK"),"OK")</f>
        <v>OK</v>
      </c>
      <c r="C43" s="37" t="str">
        <f>IF(C2=2,IF(C24&lt;0.55,IF(C24&lt;0.4,"Bad","Cramped"),"OK"),"OK")</f>
        <v>OK</v>
      </c>
      <c r="D43" s="38"/>
      <c r="E43" s="37" t="str">
        <f>IF(E2=2,IF(E24&lt;0.55,IF(E24&lt;0.4,"Bad","Cramped"),"OK"),"OK")</f>
        <v>OK</v>
      </c>
      <c r="F43" s="37" t="str">
        <f>IF(F2=2,IF(F24&lt;0.55,IF(F24&lt;0.4,"Bad","Cramped"),"OK"),"OK")</f>
        <v>OK</v>
      </c>
      <c r="G43" s="37" t="str">
        <f>IF(G2=2,IF(G24&lt;0.55,IF(G24&lt;0.4,"Bad","Cramped"),"OK"),"OK")</f>
        <v>OK</v>
      </c>
      <c r="H43" s="38"/>
      <c r="I43" s="37" t="str">
        <f>IF(I2=2,IF(I24&lt;0.55,IF(I24&lt;0.4,"Bad","Cramped"),"OK"),"OK")</f>
        <v>OK</v>
      </c>
      <c r="J43" s="37" t="str">
        <f>IF(J2=2,IF(J24&lt;0.55,IF(J24&lt;0.4,"Bad","Cramped"),"OK"),"OK")</f>
        <v>OK</v>
      </c>
      <c r="K43" s="38"/>
      <c r="L43" s="37" t="str">
        <f aca="true" t="shared" si="58" ref="L43:AG43">IF(L2=2,IF(L24&lt;0.55,IF(L24&lt;0.4,"Bad","Cramped"),"OK"),"OK")</f>
        <v>OK</v>
      </c>
      <c r="M43" s="39" t="str">
        <f t="shared" si="58"/>
        <v>Cramped</v>
      </c>
      <c r="N43" s="37" t="str">
        <f t="shared" si="58"/>
        <v>OK</v>
      </c>
      <c r="O43" s="37" t="str">
        <f t="shared" si="58"/>
        <v>OK</v>
      </c>
      <c r="P43" s="37" t="str">
        <f t="shared" si="58"/>
        <v>OK</v>
      </c>
      <c r="Q43" s="37" t="str">
        <f t="shared" si="58"/>
        <v>OK</v>
      </c>
      <c r="R43" s="37" t="str">
        <f t="shared" si="58"/>
        <v>OK</v>
      </c>
      <c r="S43" s="37" t="str">
        <f t="shared" si="58"/>
        <v>OK</v>
      </c>
      <c r="T43" s="37" t="str">
        <f t="shared" si="58"/>
        <v>OK</v>
      </c>
      <c r="U43" s="37" t="str">
        <f t="shared" si="58"/>
        <v>OK</v>
      </c>
      <c r="V43" s="37" t="str">
        <f t="shared" si="58"/>
        <v>OK</v>
      </c>
      <c r="W43" s="37" t="str">
        <f t="shared" si="58"/>
        <v>OK</v>
      </c>
      <c r="X43" s="39" t="str">
        <f t="shared" si="58"/>
        <v>Cramped</v>
      </c>
      <c r="Y43" s="37" t="str">
        <f t="shared" si="58"/>
        <v>OK</v>
      </c>
      <c r="Z43" s="37" t="str">
        <f t="shared" si="58"/>
        <v>OK</v>
      </c>
      <c r="AA43" s="37" t="str">
        <f t="shared" si="58"/>
        <v>OK</v>
      </c>
      <c r="AB43" s="37" t="str">
        <f t="shared" si="58"/>
        <v>OK</v>
      </c>
      <c r="AC43" s="37" t="str">
        <f t="shared" si="58"/>
        <v>OK</v>
      </c>
      <c r="AD43" s="37" t="str">
        <f t="shared" si="58"/>
        <v>OK</v>
      </c>
      <c r="AE43" s="37" t="str">
        <f t="shared" si="58"/>
        <v>OK</v>
      </c>
      <c r="AF43" s="37" t="str">
        <f t="shared" si="58"/>
        <v>OK</v>
      </c>
      <c r="AG43" s="37" t="str">
        <f t="shared" si="58"/>
        <v>OK</v>
      </c>
    </row>
    <row r="44" spans="1:33" ht="12.75">
      <c r="A44" s="30" t="s">
        <v>82</v>
      </c>
      <c r="B44" s="41" t="str">
        <f>VLOOKUP(B11,Materials!$A$4:$E$16,5)</f>
        <v>Mill</v>
      </c>
      <c r="C44" s="41" t="str">
        <f>VLOOKUP(C11,Materials!$A$4:$E$16,5)</f>
        <v>Mill</v>
      </c>
      <c r="D44" s="38"/>
      <c r="E44" s="41" t="str">
        <f>VLOOKUP(E11,Materials!$A$4:$E$16,5)</f>
        <v>Mirror</v>
      </c>
      <c r="F44" s="41" t="str">
        <f>VLOOKUP(F11,Materials!$A$4:$E$16,5)</f>
        <v>Mirror</v>
      </c>
      <c r="G44" s="52" t="s">
        <v>92</v>
      </c>
      <c r="H44" s="38"/>
      <c r="I44" s="41" t="str">
        <f>VLOOKUP(I11,Materials!$A$4:$E$16,5)</f>
        <v>?</v>
      </c>
      <c r="J44" s="41" t="str">
        <f>VLOOKUP(J11,Materials!$A$4:$E$16,5)</f>
        <v>?</v>
      </c>
      <c r="K44" s="38"/>
      <c r="L44" s="41" t="str">
        <f>VLOOKUP(L11,Materials!$A$4:$E$16,5)</f>
        <v>Tan</v>
      </c>
      <c r="M44" s="41" t="str">
        <f>VLOOKUP(M11,Materials!$A$4:$E$16,5)</f>
        <v>Tan</v>
      </c>
      <c r="N44" s="41" t="str">
        <f>VLOOKUP(N11,Materials!$A$4:$E$16,5)</f>
        <v>Tan</v>
      </c>
      <c r="O44" s="41" t="str">
        <f>VLOOKUP(O11,Materials!$A$4:$E$16,5)</f>
        <v>Tan</v>
      </c>
      <c r="P44" s="41" t="str">
        <f>VLOOKUP(P11,Materials!$A$4:$E$16,5)</f>
        <v>Tan</v>
      </c>
      <c r="Q44" s="41" t="str">
        <f>VLOOKUP(Q11,Materials!$A$4:$E$16,5)</f>
        <v>Tan</v>
      </c>
      <c r="R44" s="41" t="str">
        <f>VLOOKUP(R11,Materials!$A$4:$E$16,5)</f>
        <v>Tan</v>
      </c>
      <c r="S44" s="41" t="str">
        <f>VLOOKUP(S11,Materials!$A$4:$E$16,5)</f>
        <v>Tan</v>
      </c>
      <c r="T44" s="41" t="str">
        <f>VLOOKUP(T11,Materials!$A$4:$E$16,5)</f>
        <v>Tan</v>
      </c>
      <c r="U44" s="41" t="str">
        <f>VLOOKUP(U11,Materials!$A$4:$E$16,5)</f>
        <v>Tan</v>
      </c>
      <c r="V44" s="41" t="str">
        <f>VLOOKUP(V11,Materials!$A$4:$E$16,5)</f>
        <v>Tan</v>
      </c>
      <c r="W44" s="41" t="str">
        <f>VLOOKUP(W11,Materials!$A$4:$E$16,5)</f>
        <v>Tan</v>
      </c>
      <c r="X44" s="41" t="str">
        <f>VLOOKUP(X11,Materials!$A$4:$E$16,5)</f>
        <v>Mill</v>
      </c>
      <c r="Y44" s="41" t="str">
        <f>VLOOKUP(Y11,Materials!$A$4:$E$16,5)</f>
        <v>Mill</v>
      </c>
      <c r="Z44" s="41" t="str">
        <f>VLOOKUP(Z11,Materials!$A$4:$E$16,5)</f>
        <v>Mill</v>
      </c>
      <c r="AA44" s="41" t="str">
        <f>VLOOKUP(AA11,Materials!$A$4:$E$16,5)</f>
        <v>Mill</v>
      </c>
      <c r="AB44" s="41" t="str">
        <f>VLOOKUP(AB11,Materials!$A$4:$E$16,5)</f>
        <v>Mill</v>
      </c>
      <c r="AC44" s="41" t="str">
        <f>VLOOKUP(AC11,Materials!$A$4:$E$16,5)</f>
        <v>Mill</v>
      </c>
      <c r="AD44" s="41" t="str">
        <f>VLOOKUP(AD11,Materials!$A$4:$E$16,5)</f>
        <v>Mill</v>
      </c>
      <c r="AE44" s="41" t="str">
        <f>VLOOKUP(AE11,Materials!$A$4:$E$16,5)</f>
        <v>Mill</v>
      </c>
      <c r="AF44" s="41" t="str">
        <f>VLOOKUP(AF11,Materials!$A$4:$E$16,5)</f>
        <v>Mill</v>
      </c>
      <c r="AG44" s="41" t="str">
        <f>VLOOKUP(AG11,Materials!$A$4:$E$16,5)</f>
        <v>Mill</v>
      </c>
    </row>
    <row r="45" spans="1:33" ht="25.5">
      <c r="A45" s="30" t="s">
        <v>65</v>
      </c>
      <c r="B45" s="42" t="s">
        <v>73</v>
      </c>
      <c r="C45" s="37" t="str">
        <f>B45</f>
        <v>OK</v>
      </c>
      <c r="D45" s="38"/>
      <c r="E45" s="42" t="s">
        <v>73</v>
      </c>
      <c r="F45" s="37" t="str">
        <f>E45</f>
        <v>OK</v>
      </c>
      <c r="G45" s="37" t="str">
        <f>F45</f>
        <v>OK</v>
      </c>
      <c r="H45" s="38"/>
      <c r="I45" s="52" t="s">
        <v>74</v>
      </c>
      <c r="J45" s="41" t="str">
        <f>I45</f>
        <v>2 weeks</v>
      </c>
      <c r="K45" s="38"/>
      <c r="L45" s="52" t="s">
        <v>90</v>
      </c>
      <c r="M45" s="41" t="str">
        <f>L45</f>
        <v>Variable</v>
      </c>
      <c r="N45" s="41">
        <f>K45</f>
        <v>0</v>
      </c>
      <c r="O45" s="41" t="str">
        <f>L45</f>
        <v>Variable</v>
      </c>
      <c r="P45" s="41" t="str">
        <f>M45</f>
        <v>Variable</v>
      </c>
      <c r="Q45" s="41" t="str">
        <f>O45</f>
        <v>Variable</v>
      </c>
      <c r="R45" s="41" t="str">
        <f>P45</f>
        <v>Variable</v>
      </c>
      <c r="S45" s="41" t="str">
        <f>Q45</f>
        <v>Variable</v>
      </c>
      <c r="T45" s="41" t="str">
        <f>R45</f>
        <v>Variable</v>
      </c>
      <c r="U45" s="41" t="str">
        <f>Q45</f>
        <v>Variable</v>
      </c>
      <c r="V45" s="41" t="str">
        <f>R45</f>
        <v>Variable</v>
      </c>
      <c r="W45" s="41" t="str">
        <f>S45</f>
        <v>Variable</v>
      </c>
      <c r="X45" s="41" t="str">
        <f>O45</f>
        <v>Variable</v>
      </c>
      <c r="Y45" s="41" t="str">
        <f>O45</f>
        <v>Variable</v>
      </c>
      <c r="Z45" s="41" t="str">
        <f>P45</f>
        <v>Variable</v>
      </c>
      <c r="AA45" s="41" t="str">
        <f>X45</f>
        <v>Variable</v>
      </c>
      <c r="AB45" s="41" t="str">
        <f aca="true" t="shared" si="59" ref="AB45:AG45">Z45</f>
        <v>Variable</v>
      </c>
      <c r="AC45" s="41" t="str">
        <f t="shared" si="59"/>
        <v>Variable</v>
      </c>
      <c r="AD45" s="41" t="str">
        <f t="shared" si="59"/>
        <v>Variable</v>
      </c>
      <c r="AE45" s="41" t="str">
        <f t="shared" si="59"/>
        <v>Variable</v>
      </c>
      <c r="AF45" s="41" t="str">
        <f t="shared" si="59"/>
        <v>Variable</v>
      </c>
      <c r="AG45" s="41" t="str">
        <f t="shared" si="59"/>
        <v>Variable</v>
      </c>
    </row>
    <row r="46" spans="1:33" ht="25.5">
      <c r="A46" s="30" t="s">
        <v>72</v>
      </c>
      <c r="B46" s="42" t="s">
        <v>73</v>
      </c>
      <c r="C46" s="37" t="str">
        <f>B46</f>
        <v>OK</v>
      </c>
      <c r="D46" s="38"/>
      <c r="E46" s="42" t="s">
        <v>73</v>
      </c>
      <c r="F46" s="37" t="str">
        <f>E46</f>
        <v>OK</v>
      </c>
      <c r="G46" s="42" t="s">
        <v>93</v>
      </c>
      <c r="H46" s="38"/>
      <c r="I46" s="39" t="s">
        <v>75</v>
      </c>
      <c r="J46" s="39" t="str">
        <f>I46</f>
        <v>350 $</v>
      </c>
      <c r="K46" s="38"/>
      <c r="L46" s="52" t="s">
        <v>73</v>
      </c>
      <c r="M46" s="52" t="s">
        <v>73</v>
      </c>
      <c r="N46" s="52" t="s">
        <v>73</v>
      </c>
      <c r="O46" s="52" t="s">
        <v>73</v>
      </c>
      <c r="P46" s="52" t="s">
        <v>73</v>
      </c>
      <c r="Q46" s="52" t="s">
        <v>73</v>
      </c>
      <c r="R46" s="52" t="s">
        <v>73</v>
      </c>
      <c r="S46" s="52" t="s">
        <v>73</v>
      </c>
      <c r="T46" s="52" t="s">
        <v>73</v>
      </c>
      <c r="U46" s="52" t="s">
        <v>73</v>
      </c>
      <c r="V46" s="52" t="s">
        <v>73</v>
      </c>
      <c r="W46" s="52" t="s">
        <v>73</v>
      </c>
      <c r="X46" s="52" t="s">
        <v>73</v>
      </c>
      <c r="Y46" s="52" t="s">
        <v>73</v>
      </c>
      <c r="Z46" s="52" t="s">
        <v>73</v>
      </c>
      <c r="AA46" s="52" t="s">
        <v>73</v>
      </c>
      <c r="AB46" s="52" t="s">
        <v>73</v>
      </c>
      <c r="AC46" s="52" t="s">
        <v>73</v>
      </c>
      <c r="AD46" s="52" t="s">
        <v>73</v>
      </c>
      <c r="AE46" s="52" t="s">
        <v>73</v>
      </c>
      <c r="AF46" s="52" t="s">
        <v>73</v>
      </c>
      <c r="AG46" s="52" t="s">
        <v>73</v>
      </c>
    </row>
    <row r="47" spans="1:33" ht="12.75">
      <c r="A47" s="32"/>
      <c r="B47" s="33"/>
      <c r="C47" s="33"/>
      <c r="D47" s="31"/>
      <c r="E47" s="33"/>
      <c r="F47" s="33"/>
      <c r="G47" s="33"/>
      <c r="H47" s="31"/>
      <c r="I47" s="33"/>
      <c r="J47" s="33"/>
      <c r="K47" s="31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2.75">
      <c r="A48" s="1" t="s">
        <v>76</v>
      </c>
      <c r="B48" s="12"/>
      <c r="C48" s="46"/>
      <c r="D48" s="38"/>
      <c r="E48" s="12"/>
      <c r="F48" s="46"/>
      <c r="G48" s="46"/>
      <c r="H48" s="38"/>
      <c r="I48" s="43" t="s">
        <v>71</v>
      </c>
      <c r="J48" s="43" t="s">
        <v>71</v>
      </c>
      <c r="K48" s="38"/>
      <c r="L48" s="45" t="s">
        <v>81</v>
      </c>
      <c r="M48" s="44" t="s">
        <v>71</v>
      </c>
      <c r="N48" s="43" t="s">
        <v>71</v>
      </c>
      <c r="O48" s="45" t="s">
        <v>91</v>
      </c>
      <c r="P48" s="46"/>
      <c r="Q48" s="43" t="s">
        <v>71</v>
      </c>
      <c r="R48" s="44" t="s">
        <v>71</v>
      </c>
      <c r="S48" s="46"/>
      <c r="T48" s="43" t="s">
        <v>71</v>
      </c>
      <c r="U48" s="43" t="s">
        <v>71</v>
      </c>
      <c r="V48" s="44" t="s">
        <v>71</v>
      </c>
      <c r="W48" s="43" t="s">
        <v>71</v>
      </c>
      <c r="X48" s="43" t="s">
        <v>71</v>
      </c>
      <c r="Y48" s="43" t="s">
        <v>71</v>
      </c>
      <c r="Z48" s="46"/>
      <c r="AA48" s="46"/>
      <c r="AB48" s="43" t="s">
        <v>71</v>
      </c>
      <c r="AC48" s="43" t="s">
        <v>71</v>
      </c>
      <c r="AD48" s="46"/>
      <c r="AE48" s="43" t="s">
        <v>71</v>
      </c>
      <c r="AF48" s="43" t="s">
        <v>71</v>
      </c>
      <c r="AG48" s="43" t="s">
        <v>71</v>
      </c>
    </row>
    <row r="49" ht="12.75"/>
    <row r="50" spans="13:23" ht="12.75"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ht="12.75"/>
    <row r="52" ht="12.75"/>
    <row r="53" ht="12.75"/>
    <row r="54" ht="12.75"/>
  </sheetData>
  <mergeCells count="1">
    <mergeCell ref="B1:C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E17" sqref="E17"/>
    </sheetView>
  </sheetViews>
  <sheetFormatPr defaultColWidth="9.140625" defaultRowHeight="12.75"/>
  <cols>
    <col min="1" max="1" width="18.00390625" style="1" customWidth="1"/>
    <col min="2" max="2" width="12.28125" style="1" customWidth="1"/>
    <col min="3" max="3" width="23.421875" style="1" bestFit="1" customWidth="1"/>
    <col min="4" max="4" width="14.140625" style="1" bestFit="1" customWidth="1"/>
    <col min="5" max="5" width="14.140625" style="1" customWidth="1"/>
    <col min="6" max="6" width="22.8515625" style="1" bestFit="1" customWidth="1"/>
    <col min="7" max="16384" width="9.140625" style="1" customWidth="1"/>
  </cols>
  <sheetData>
    <row r="1" ht="12.75">
      <c r="A1" s="2" t="s">
        <v>25</v>
      </c>
    </row>
    <row r="3" spans="1:6" ht="12.75">
      <c r="A3" s="12" t="s">
        <v>27</v>
      </c>
      <c r="B3" s="12" t="s">
        <v>28</v>
      </c>
      <c r="C3" s="12" t="s">
        <v>26</v>
      </c>
      <c r="D3" s="12" t="s">
        <v>19</v>
      </c>
      <c r="E3" s="12" t="s">
        <v>84</v>
      </c>
      <c r="F3" s="1" t="s">
        <v>42</v>
      </c>
    </row>
    <row r="4" spans="1:5" ht="12.75">
      <c r="A4" s="12">
        <v>1</v>
      </c>
      <c r="B4" s="12" t="s">
        <v>35</v>
      </c>
      <c r="C4" s="12">
        <v>415</v>
      </c>
      <c r="D4" s="12">
        <v>2702</v>
      </c>
      <c r="E4" s="12" t="s">
        <v>79</v>
      </c>
    </row>
    <row r="5" spans="1:5" ht="12.75">
      <c r="A5" s="12">
        <v>2</v>
      </c>
      <c r="B5" s="12" t="s">
        <v>34</v>
      </c>
      <c r="C5" s="12">
        <v>75</v>
      </c>
      <c r="D5" s="12">
        <v>2702</v>
      </c>
      <c r="E5" s="12" t="s">
        <v>79</v>
      </c>
    </row>
    <row r="6" spans="1:6" ht="12.75">
      <c r="A6" s="12">
        <v>3</v>
      </c>
      <c r="B6" s="13" t="s">
        <v>33</v>
      </c>
      <c r="C6" s="12">
        <v>345</v>
      </c>
      <c r="D6" s="12">
        <v>2702</v>
      </c>
      <c r="E6" s="12" t="s">
        <v>85</v>
      </c>
      <c r="F6" s="1" t="s">
        <v>63</v>
      </c>
    </row>
    <row r="7" spans="1:5" ht="12.75">
      <c r="A7" s="12">
        <v>4</v>
      </c>
      <c r="B7" s="12" t="s">
        <v>32</v>
      </c>
      <c r="C7" s="12">
        <v>325</v>
      </c>
      <c r="D7" s="12">
        <v>2702</v>
      </c>
      <c r="E7" s="12" t="s">
        <v>79</v>
      </c>
    </row>
    <row r="8" spans="1:5" ht="12.75">
      <c r="A8" s="12">
        <v>5</v>
      </c>
      <c r="B8" s="12" t="s">
        <v>37</v>
      </c>
      <c r="C8" s="12">
        <v>145</v>
      </c>
      <c r="D8" s="12">
        <v>2702</v>
      </c>
      <c r="E8" s="12" t="s">
        <v>79</v>
      </c>
    </row>
    <row r="9" spans="1:6" ht="12.75">
      <c r="A9" s="12">
        <v>6</v>
      </c>
      <c r="B9" s="13" t="s">
        <v>31</v>
      </c>
      <c r="C9" s="12">
        <v>275</v>
      </c>
      <c r="D9" s="12">
        <v>2702</v>
      </c>
      <c r="E9" s="12" t="s">
        <v>86</v>
      </c>
      <c r="F9" s="1" t="s">
        <v>53</v>
      </c>
    </row>
    <row r="10" spans="1:5" ht="12.75">
      <c r="A10" s="12">
        <v>7</v>
      </c>
      <c r="B10" s="12" t="s">
        <v>38</v>
      </c>
      <c r="C10" s="12">
        <v>215</v>
      </c>
      <c r="D10" s="12">
        <v>2702</v>
      </c>
      <c r="E10" s="12" t="s">
        <v>79</v>
      </c>
    </row>
    <row r="11" spans="1:6" ht="12.75">
      <c r="A11" s="12">
        <v>8</v>
      </c>
      <c r="B11" s="13" t="s">
        <v>30</v>
      </c>
      <c r="C11" s="12">
        <v>225</v>
      </c>
      <c r="D11" s="12">
        <v>2702</v>
      </c>
      <c r="E11" s="12" t="s">
        <v>83</v>
      </c>
      <c r="F11" s="1" t="s">
        <v>54</v>
      </c>
    </row>
    <row r="12" spans="1:5" ht="12.75">
      <c r="A12" s="12">
        <v>9</v>
      </c>
      <c r="B12" s="12" t="s">
        <v>36</v>
      </c>
      <c r="C12" s="12">
        <v>490</v>
      </c>
      <c r="D12" s="12">
        <v>2702</v>
      </c>
      <c r="E12" s="12" t="s">
        <v>79</v>
      </c>
    </row>
    <row r="13" spans="1:5" ht="12.75">
      <c r="A13" s="12">
        <v>10</v>
      </c>
      <c r="B13" s="13" t="s">
        <v>29</v>
      </c>
      <c r="C13" s="12">
        <v>505</v>
      </c>
      <c r="D13" s="12">
        <v>2702</v>
      </c>
      <c r="E13" s="12" t="s">
        <v>79</v>
      </c>
    </row>
    <row r="14" spans="1:5" ht="12.75">
      <c r="A14" s="12">
        <v>11</v>
      </c>
      <c r="B14" s="12" t="s">
        <v>39</v>
      </c>
      <c r="C14" s="12">
        <v>505</v>
      </c>
      <c r="D14" s="12">
        <v>2702</v>
      </c>
      <c r="E14" s="12" t="s">
        <v>79</v>
      </c>
    </row>
    <row r="15" spans="1:6" ht="12.75">
      <c r="A15" s="12">
        <v>12</v>
      </c>
      <c r="B15" s="13" t="s">
        <v>78</v>
      </c>
      <c r="C15" s="12">
        <f>96/80*505</f>
        <v>606</v>
      </c>
      <c r="D15" s="12">
        <v>2702</v>
      </c>
      <c r="E15" s="12" t="s">
        <v>79</v>
      </c>
      <c r="F15" s="1" t="s">
        <v>77</v>
      </c>
    </row>
    <row r="16" spans="1:6" ht="12.75">
      <c r="A16" s="12">
        <v>13</v>
      </c>
      <c r="B16" s="22" t="str">
        <f>B22</f>
        <v>MD 5/8" OD</v>
      </c>
      <c r="C16" s="21">
        <f>B34</f>
        <v>292.91945201587515</v>
      </c>
      <c r="D16" s="12">
        <v>2702</v>
      </c>
      <c r="E16" s="12" t="s">
        <v>86</v>
      </c>
      <c r="F16" s="18" t="s">
        <v>55</v>
      </c>
    </row>
    <row r="21" ht="13.5" thickBot="1"/>
    <row r="22" spans="1:3" s="23" customFormat="1" ht="13.5" thickTop="1">
      <c r="A22" s="23" t="s">
        <v>51</v>
      </c>
      <c r="B22" s="24" t="s">
        <v>49</v>
      </c>
      <c r="C22" s="23" t="s">
        <v>43</v>
      </c>
    </row>
    <row r="23" ht="12.75">
      <c r="A23" s="1" t="s">
        <v>50</v>
      </c>
    </row>
    <row r="24" spans="1:2" ht="12.75">
      <c r="A24" s="1" t="s">
        <v>44</v>
      </c>
      <c r="B24" s="2">
        <f>5/8</f>
        <v>0.625</v>
      </c>
    </row>
    <row r="25" spans="1:2" ht="12.75">
      <c r="A25" s="1" t="s">
        <v>45</v>
      </c>
      <c r="B25" s="2">
        <v>0.093</v>
      </c>
    </row>
    <row r="26" spans="1:3" ht="12.75">
      <c r="A26" s="1" t="s">
        <v>46</v>
      </c>
      <c r="B26" s="2">
        <v>0.45</v>
      </c>
      <c r="C26" s="1" t="s">
        <v>56</v>
      </c>
    </row>
    <row r="27" spans="1:2" ht="12.75">
      <c r="A27" s="1" t="s">
        <v>47</v>
      </c>
      <c r="B27" s="2">
        <v>173.8</v>
      </c>
    </row>
    <row r="28" spans="1:2" ht="12.75">
      <c r="A28" s="1" t="s">
        <v>48</v>
      </c>
      <c r="B28" s="20">
        <f>B27*0.454*9.806</f>
        <v>773.7443912</v>
      </c>
    </row>
    <row r="29" spans="1:2" ht="12.75">
      <c r="A29" s="1" t="s">
        <v>16</v>
      </c>
      <c r="B29" s="10">
        <f>B24*0.0254/2</f>
        <v>0.0079375</v>
      </c>
    </row>
    <row r="30" spans="1:2" ht="12.75">
      <c r="A30" s="1" t="s">
        <v>17</v>
      </c>
      <c r="B30" s="10">
        <f>B29-B25*0.0254</f>
        <v>0.0055753</v>
      </c>
    </row>
    <row r="31" spans="1:2" ht="12.75">
      <c r="A31" s="1" t="s">
        <v>18</v>
      </c>
      <c r="B31" s="10">
        <f>PI()*(POWER(B29,2)-POWER(B30,2))</f>
        <v>0.0001002794369433112</v>
      </c>
    </row>
    <row r="32" spans="1:2" ht="12.75">
      <c r="A32" s="1" t="s">
        <v>14</v>
      </c>
      <c r="B32" s="10">
        <f>B29</f>
        <v>0.0079375</v>
      </c>
    </row>
    <row r="33" spans="1:2" ht="12.75">
      <c r="A33" s="1" t="s">
        <v>11</v>
      </c>
      <c r="B33" s="10">
        <f>PI()*(POWER(B29,4)-POWER(B30,4))/4</f>
        <v>2.358769815641773E-09</v>
      </c>
    </row>
    <row r="34" spans="1:3" s="25" customFormat="1" ht="13.5" thickBot="1">
      <c r="A34" s="25" t="s">
        <v>15</v>
      </c>
      <c r="B34" s="26">
        <f>B28*B26*B32/(4*B33)/1000000</f>
        <v>292.91945201587515</v>
      </c>
      <c r="C34" s="25" t="s">
        <v>52</v>
      </c>
    </row>
    <row r="35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Jerome Daoust</cp:lastModifiedBy>
  <dcterms:created xsi:type="dcterms:W3CDTF">1996-10-14T23:33:28Z</dcterms:created>
  <dcterms:modified xsi:type="dcterms:W3CDTF">2007-02-18T01:53:59Z</dcterms:modified>
  <cp:category/>
  <cp:version/>
  <cp:contentType/>
  <cp:contentStatus/>
</cp:coreProperties>
</file>